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9320" windowHeight="9600" firstSheet="1" activeTab="1"/>
  </bookViews>
  <sheets>
    <sheet name="Naudas plūsma" sheetId="1" state="hidden" r:id="rId1"/>
    <sheet name="RTU" sheetId="2" r:id="rId2"/>
    <sheet name="Sheet1" sheetId="3" r:id="rId3"/>
  </sheets>
  <definedNames>
    <definedName name="_xlnm.Print_Titles" localSheetId="0">'Naudas plūsma'!$11:$12</definedName>
  </definedNames>
  <calcPr fullCalcOnLoad="1"/>
</workbook>
</file>

<file path=xl/comments1.xml><?xml version="1.0" encoding="utf-8"?>
<comments xmlns="http://schemas.openxmlformats.org/spreadsheetml/2006/main">
  <authors>
    <author>IT Dienests</author>
  </authors>
  <commentList>
    <comment ref="C3" authorId="0">
      <text>
        <r>
          <rPr>
            <sz val="8"/>
            <rFont val="Tahoma"/>
            <family val="2"/>
          </rPr>
          <t>Visa ienākošā nauda projektam ne no RTU, ja no vairākiem finansētājiem, ieliekam (insert) papildus apakšūnas, pie printēšanas apakššūnas paslēpt (hide)</t>
        </r>
      </text>
    </comment>
  </commentList>
</comments>
</file>

<file path=xl/sharedStrings.xml><?xml version="1.0" encoding="utf-8"?>
<sst xmlns="http://schemas.openxmlformats.org/spreadsheetml/2006/main" count="964" uniqueCount="377">
  <si>
    <t>Renovācijas darbi: laboratorijas  telpa ar palīgtelpu, Rīga, Aizkraukles iela 21-147, 41.6m2; remontdarbi</t>
  </si>
  <si>
    <t>Renovācijas darbi: laboratorijas telpas; Aizkraukles iela 21-103; 104 un daļa bijušās mašīnzāles, 43.2m2; remontdarbi</t>
  </si>
  <si>
    <t>Renovācijas darbi: Elektrofizikālo procesu  modelēšanas laboratorija, Aizkraukles iela 21- mašīnzāles telpa, 86.3m2; remontdarbi</t>
  </si>
  <si>
    <t>Renovācijas darbi: laboratorijas telpas, Aizkraukles iela 21-259, 266, 36.07m2;  remontdarbi</t>
  </si>
  <si>
    <t>Renovācijas darbi: laboratorijas telpa, Aizkraukles iela 21-054, 28.4m2; remontdarbi</t>
  </si>
  <si>
    <t>darba vietu aprīkojums (28gb); iekārtu iegāde/uzstādīšana</t>
  </si>
  <si>
    <t>darba vietu aprīkojums (15gb); iekārtu iegāde/uzstādīšana</t>
  </si>
  <si>
    <t>Darba vietu aprīkojums (20gb); iekārtu izgatavošana, piegāde</t>
  </si>
  <si>
    <t>Analītiskie svari;  iekārtas izgatavošana, piegāde</t>
  </si>
  <si>
    <t>Zinātnisko darbinieku darba vietas aprīkojums (6gb); iekārtas izgatavošana, piegāde</t>
  </si>
  <si>
    <t>Zinātnisko darbinieku darba vietu aprīkojums (15gb); iekārtas izgatavošana, piegāde</t>
  </si>
  <si>
    <t>Augstās izšķirtspējas skenējošais elektronu mikroskops (SEM); iekārtas izgatavošana, piegāde</t>
  </si>
  <si>
    <t>Specializēta augstražīga termoklimatisko (HAM) procesu simulatora iegāde</t>
  </si>
  <si>
    <t>Sensors norobežojošo konstrukciju siltuma vadīšanas koeficienta noteikšanai</t>
  </si>
  <si>
    <t>Vilkmes skapis.</t>
  </si>
  <si>
    <t>Piranometrs komplektā ar augstas precizitātes nolaīšanas ierīci</t>
  </si>
  <si>
    <t>Pastiprinātājs termoelementu sensoriem</t>
  </si>
  <si>
    <t>Rokas nolasīšanas ierīce</t>
  </si>
  <si>
    <t>Siltuma vadīšanas un siltumpretestības mēriekārta</t>
  </si>
  <si>
    <t xml:space="preserve">Galda elektron-mikroskops Hitachi </t>
  </si>
  <si>
    <t>Galda rentgendifraktometrijas sistēma</t>
  </si>
  <si>
    <t>Saules siltuma uzkrāšanas dzesēšanas sistēma un iekārtas (komplekts), t.sk. nepieciešamais programnodrošinājums  Saules siltuma sistēmu modelēšanai, Gaisa temperatūras pielabotājs.</t>
  </si>
  <si>
    <t>2 neatkarīgi saules kolektoru sistēmu komplekti (ar programnodrošinājumu  saules sistēmu un PV sistēmu vizualizācijai un modelēšanai)</t>
  </si>
  <si>
    <t>Dzesēšanas iekārta, kas darbojas ar saules bateriju (PV)</t>
  </si>
  <si>
    <t>Koncentrējošā tipa saules kolektoru sistēma</t>
  </si>
  <si>
    <t>Komplekts jauna tipa koncentrējoša saules kolektora izstrādei</t>
  </si>
  <si>
    <t>PVT tipa sistēma  (kombinētās sistēmas "elektrība-siltums") ar programnodrošinājumu saules elektro sistēmu modelēšanai</t>
  </si>
  <si>
    <t>Vakuuma iekārta ar kriostālu</t>
  </si>
  <si>
    <t>Magnetrons ar uzputināšanas iekārtu</t>
  </si>
  <si>
    <t>Iekārtu komplekts PV pieslēgšanai tīklam</t>
  </si>
  <si>
    <t>DC universālais stends jaudām līdz 300kW un enerģijas uzkrājēju pētnieciskā iekārta</t>
  </si>
  <si>
    <t>Mērīšanas komplekss vēja parametru mērīšanai:mobils mērīšanas komplekss, programmas nodrošinājums rezultātu apstrādei, LOGGER tipa registrējošas aparatūras komplekts, LiDaR vēja reģistrējošas aparatūras komplekts</t>
  </si>
  <si>
    <t>darba vietu aprīkojums (10gb)</t>
  </si>
  <si>
    <t>Enerģijas patēriņa un ražošanas datu reģistrēšanas un uzkrāšanas iekārtas un enerģijas apgādes sistēmas darbības analīzes un optimizācijas komplekss</t>
  </si>
  <si>
    <t>Termogravimētrijas kompleksa mērījumu, reģistrācijas un datu apstrādes bloks</t>
  </si>
  <si>
    <t>Organisko saules elementu kalibrators</t>
  </si>
  <si>
    <t>PC programmējams un ar rokas vadību nodrošināts augstsprieguma avots</t>
  </si>
  <si>
    <t>PC programmējami  7 1/2 zīmju ciparu voltmetri - multimetri</t>
  </si>
  <si>
    <t>Starojuma jaudas mērītājs</t>
  </si>
  <si>
    <t>Saules simulators</t>
  </si>
  <si>
    <t>PC programmējams spektrometrs paraugu absorbcijas spektru un luminiscences mērīšanai.  300- 2500 nm intervālā</t>
  </si>
  <si>
    <t>Fāžu mērijumu komplekss ar aprīkojumu</t>
  </si>
  <si>
    <t>Komplekts organisko saules elementu audzēšanai</t>
  </si>
  <si>
    <t>Aukstuma kamera, T +4C, iekārtas izgatavošana, piegāde</t>
  </si>
  <si>
    <t>Vispārējas nozīmes mēraparatūra;</t>
  </si>
  <si>
    <t>Optiskie elementi UIG intereferometram, fotomateriāli.</t>
  </si>
  <si>
    <t>Portatīvā XRF analizatora iegāde</t>
  </si>
  <si>
    <t>Rentgendifraktometrijas sistēmas  iegāde</t>
  </si>
  <si>
    <t>Aprīkojuma komplekta pazemes ūdeņu lauka pētījumiem iegāde</t>
  </si>
  <si>
    <t>Dejonizatora un ūdens destilatora  iegāde</t>
  </si>
  <si>
    <t>Rokas urbšanas iekārtas ar triecienāmura funkciju iegāde</t>
  </si>
  <si>
    <t>Portatīvās, pārvietojamās mehāniskās urbšanas iekārtas iegāde</t>
  </si>
  <si>
    <t>Bezreaģentu jonu hromatogrāfijas iekārtas ar papildaprīkojumu iegāde</t>
  </si>
  <si>
    <t>Plānslīpējumu izgatavošanas automātiskās sistēmas iegāde</t>
  </si>
  <si>
    <t>Stabilo izotopu relatīvo koncentrāciju analīzes aprīkojuma iegāde</t>
  </si>
  <si>
    <t>Rentgenstaru absorbcijas granulometra (Sedigrāfa) un paraugu sagatavošanas aprīkojuma iegāde</t>
  </si>
  <si>
    <t>Termiskās kameras iegāde</t>
  </si>
  <si>
    <t>Termoklimatisko parametru telpās ilgtermiņa monitoringa sistēmas iegāde</t>
  </si>
  <si>
    <t>Sistēmas mērījumiem ar iezīmētās gāzes metodi iegāde</t>
  </si>
  <si>
    <t>Augstražīgas mērsistēmas būvkonstrukciju un telpu hermetizācijas noteikšanai iegāde</t>
  </si>
  <si>
    <t>Siltuma plūsmu mēriekārtas iegāde</t>
  </si>
  <si>
    <t>Caurspīdīgu konstrukciju solārā starojuma enerģijas caurlaidības mērsistēmas iegāde</t>
  </si>
  <si>
    <t>1.2. Sistemātiska logu nomaiņa virzienā no 4. stāva uz 1. stāvu</t>
  </si>
  <si>
    <t>iep</t>
  </si>
  <si>
    <t>izg, p</t>
  </si>
  <si>
    <t>Aktivitāte</t>
  </si>
  <si>
    <t>Cena, Ls</t>
  </si>
  <si>
    <r>
      <t xml:space="preserve">Particle Image Velocimetry (PIV) sistēma, ieskaitot Dual Power NdYag lāzeru, datoru ar programmatūru, ātrgaitas kinokameru </t>
    </r>
    <r>
      <rPr>
        <i/>
        <sz val="9"/>
        <color indexed="8"/>
        <rFont val="Times New Roman"/>
        <family val="1"/>
      </rPr>
      <t>Phantom</t>
    </r>
  </si>
  <si>
    <t>Analog-digitālais energosistēmas simulators (ar nepieciešamo programmatūru iekārtas darba nodrošināšanai); iekārtas izgatavošana, piegāde (divos etapos)</t>
  </si>
  <si>
    <t>Ēku gaisa apmaiņas noteikšanas iekārta (iezīmētās gāzes izklīdināšanas iekārta); iekārtas izgatavošana, piegāde</t>
  </si>
  <si>
    <t>Ēku elektroenerģijas patēriņa un analīzes mēriekārtas; iekārtas izgatavošana, piegāde</t>
  </si>
  <si>
    <t>Kompleksa monitoringa sistēma ēku energoefektivitātes noteikšanai; iekārtas izgatavošana, piegāde</t>
  </si>
  <si>
    <t>Automātiskais kalorimetrs; iekārtas izgatavošana, piegāde</t>
  </si>
  <si>
    <t>Speciālā mufeļkrāsns; iekārtas izgatavošana, piegāde</t>
  </si>
  <si>
    <t>Infrasarkano staru spektrometrs; iekārtas izgatavošana, piegādes</t>
  </si>
  <si>
    <t>Induktīvi saistītās plazmas optiskais emisijas spektrometrs (ICP-OES); iekārtas izgatavošana, piegāde</t>
  </si>
  <si>
    <t>Autoklāvu komplekts; iekārtas izgatavošana, piegāde</t>
  </si>
  <si>
    <t>Viļnu garuma dispersīvā rentgenfluorescences iekārta XRF;  iekārtas izgatavošana, piegāde</t>
  </si>
  <si>
    <t>CHN-S analizators ar mikrosvariem;  iekārtas izgatavošana, piegāde</t>
  </si>
  <si>
    <t>Mufeļkrāsnis, 1600 oC, programmējams kontrolieris;  iekārtas izgatavošana, piegāde</t>
  </si>
  <si>
    <t>Vakuuma žāvskapis;  iekārtas izgatavošana, piegāde</t>
  </si>
  <si>
    <t>Saduļķošanās un sasalšanas temperatūras noteicējs;  iekārtas izgatavošana, piegāde</t>
  </si>
  <si>
    <t>Superkritiskā ekstrakcija 680 atm/ 500 ml ;  iekārtas izgatavošana, piegāde</t>
  </si>
  <si>
    <t>Šķidrumu krāsas noteicējs;  iekārtas izgatavošana, piegāde</t>
  </si>
  <si>
    <t>i-SPECTM Q 100 Handheld Biodiesel Analyser; iekārtas izgatavošana, piegāde</t>
  </si>
  <si>
    <t>Saldētava, kas uztur -20C temperatūru. iekārtas izgatavošana, piegāde</t>
  </si>
  <si>
    <t>Inkubatori ar dzesēšanas un ventilācijas funkcijām. iekārtas izgatavošana, piegāde</t>
  </si>
  <si>
    <t>Ultra  tīra laboratorijas ūdens sagatvošanas iekārta; iekārtas izgatavošana, piegāde</t>
  </si>
  <si>
    <t>TOC analizators. iekārtas izgatavošana, piegāde</t>
  </si>
  <si>
    <t>Īpaši aprīkots mikroskops. iekārtas izgatavošana, piegāde</t>
  </si>
  <si>
    <t>Velkmes skapis darbam ar indīgām ķīmiskām vielām. iekārtas izgatavošana, piegāde</t>
  </si>
  <si>
    <t>Orbitālie kratītāji aerobajai un anaerobajai inkubācijai.; iekārtas izgatavošana, piegāde</t>
  </si>
  <si>
    <t>Homogenizācijas iekārtas. iekārtas izgatavošana, piegāde</t>
  </si>
  <si>
    <t>Z-potenciāla mērītājs. iekārtas izgatavošana, piegāde</t>
  </si>
  <si>
    <t>HPLC (augstas izšķirtspējas šķidruma hromatogrāfs). iekārtas izgatavošana, piegāde</t>
  </si>
  <si>
    <t>Atomspektrometrs. iekārtas izgatavošana, piegāde</t>
  </si>
  <si>
    <t>Sistēmdinamiskais simulācijas komplekss; iekārtas izgatavošana, piegāde</t>
  </si>
  <si>
    <t>Vides, teritorijas, infrastruktūras attīstīšanas modelēšanas komplekss; iekārtas izgatavošana, piegāde</t>
  </si>
  <si>
    <t>Nekustamā īpašuma pārvaldības un attīstīšanas komplekss ; iekārtas izgatavošana, piegāde</t>
  </si>
  <si>
    <t>Ēku mikroklimata, energoefektivitātes monitorings un modelēšanas komplekss; iekārtas izgatavošana, piegāde</t>
  </si>
  <si>
    <t>Mēraparatūras un laboratoriju aprīkojuma komplekts. (sastāv no vairākām iekārtām); iekārtu izgatavošana, piegāde (divas daļas)</t>
  </si>
  <si>
    <t>Tribometrs komplektācijā UMT-3, iekārtu izgatavošana, piegāde</t>
  </si>
  <si>
    <t>Materiālu mehānisko rakturlielumu pārbaudes iekārta,  iekārtu izgatavošana, piegāde</t>
  </si>
  <si>
    <t>Iekārtas laboratorijas trauku attīrīšanai. iekārtas izgatavošana, piegāde</t>
  </si>
  <si>
    <t>kopā</t>
  </si>
  <si>
    <t>EVIIT VNPC projekta īstenošanas laika grafiks:</t>
  </si>
  <si>
    <t>  </t>
  </si>
  <si>
    <t>RTU</t>
  </si>
  <si>
    <t>LU ĢZZF, LU ĶF</t>
  </si>
  <si>
    <t>Saules paneļu komplekts ar kopējo jaudu 30-50 kW, +aprīkojums (daļai - trekeri, daļai stacionārs stiprinājums). iekārtu iegāde</t>
  </si>
  <si>
    <t>31.08.</t>
  </si>
  <si>
    <t>Vēja ģenerators (6 kW) un aprīkojums. iekārtu iegāde</t>
  </si>
  <si>
    <t>Kombinētās barošanas vilces piedziņas stends ar hibrīdo enerģijas uzkrājēju (sastāv no vairākām iekārtām),  
iekārtas iegāde</t>
  </si>
  <si>
    <t>Industriālās elektronikas un elektrotehnikas institūts</t>
  </si>
  <si>
    <t>Jaunais laboratorijas korpuss</t>
  </si>
  <si>
    <t xml:space="preserve">Pārvietojamās laboratorijas (konteiners autopiekabes veidā) pamatiekārtas: Energoavots laboratorijas apkurei un elektroapgādei; Kondicionieris; Vilkmes skapis; Kurināmā sagatavošanas iekārta pārbaudei; Kolorimetriskā iekārta; IT centrs mērījumu rezultātu apkopošanai un analīzei.
</t>
  </si>
  <si>
    <t>LU</t>
  </si>
  <si>
    <t>LU FMF</t>
  </si>
  <si>
    <t>LU geo</t>
  </si>
  <si>
    <t>LU aģentūra "Latvijas Universitātes Bioloģiskais institūts"</t>
  </si>
  <si>
    <t>LU BI</t>
  </si>
  <si>
    <t>Fizikālās enerģētikas instiūts</t>
  </si>
  <si>
    <t>FEI</t>
  </si>
  <si>
    <t>Virsmas optiskais mikroskops Iekārta tiks novietota Fizkālās Enerģētikas institūtā Rīga, Aizkraukles iela 21</t>
  </si>
  <si>
    <t>.</t>
  </si>
  <si>
    <t>RTU IEEI</t>
  </si>
  <si>
    <t>Enerģētikas institūts</t>
  </si>
  <si>
    <t>RTU EI</t>
  </si>
  <si>
    <t>Vides aizsardzības un siltuma sistēmu institūts</t>
  </si>
  <si>
    <t>RTU VASSI</t>
  </si>
  <si>
    <t>Lietišķās ķīmijas institūts</t>
  </si>
  <si>
    <t>RTU LKI</t>
  </si>
  <si>
    <t>Silikātu materiālu institūts</t>
  </si>
  <si>
    <t>RTU SMI+ZBI</t>
  </si>
  <si>
    <t>Siltuma, gāzes un ūdens tehnoloģiju institūts</t>
  </si>
  <si>
    <t>RTU UITK</t>
  </si>
  <si>
    <t>RTU SGUTI</t>
  </si>
  <si>
    <t>Transporta un Mašīnbūves apakšcentrs</t>
  </si>
  <si>
    <t>RTU TM ac</t>
  </si>
  <si>
    <t>Siltumenerģētisko sistēmu katedra</t>
  </si>
  <si>
    <t>RTU SES</t>
  </si>
  <si>
    <t>BUNĪ ekonomikas institūts</t>
  </si>
  <si>
    <t>RTU BUNI</t>
  </si>
  <si>
    <t>Ēkas eksperimentālais modulis dažādu konstrukciju siltumtehnisko un telpas klimata īpašību testēšanai; moduļa izbūve, iekartu uzstādīšana</t>
  </si>
  <si>
    <t>Termiskā kamera dažādu konstrukciju siltumpārejas un siltumvadītspējas koeficientu noteikšanai; izgatavošana un piegāde</t>
  </si>
  <si>
    <t>Biomasas apkures iekārtu ar jaudu līdz 60kW testēšanas stends; iekartu izgatavošana un piegade</t>
  </si>
  <si>
    <t>Biogāzes un bioūdeņraža analīžu, kvalitātes un ietekmes uz vidi noteikšanai stends; iekārtu izgatavošana, piegāde</t>
  </si>
  <si>
    <t>Mazas jaudas plazmas ģenerators dūmgāzu attīrīšanai; iekārtu izgatavošana, piegāde</t>
  </si>
  <si>
    <t>Līdzsadedzināšanas procesa testēšanas stends; iekārtu izgatavošana, piegāde</t>
  </si>
  <si>
    <t>Kombinēto saules siltuma sistēmu enerģijas pārvades, uzkrāšanas un to elementu kompleksās izpētes stends; iekārtu izgatavošana, piegāde</t>
  </si>
  <si>
    <t>Dinamometriskais stends un tā palīgiekārtas: sprieguma pārveidotāji; vadības sistēmas un programmas nodrošinājums, reģistrējoša aparatūra . (2 etapi: DS 546-4/V un 736-4/V )</t>
  </si>
  <si>
    <t>aktivitāte</t>
  </si>
  <si>
    <t>Telpu renovācija: laboratorija, Āzenes iela 24, 138.t., 139 (66.5 m2); remontdarbi</t>
  </si>
  <si>
    <r>
      <t xml:space="preserve">Telpu renovācija: Āzenes ielā 24 </t>
    </r>
    <r>
      <rPr>
        <sz val="9"/>
        <color indexed="16"/>
        <rFont val="Times New Roman"/>
        <family val="1"/>
      </rPr>
      <t>(346., 437. telpas; 105m2)</t>
    </r>
    <r>
      <rPr>
        <sz val="9"/>
        <color indexed="8"/>
        <rFont val="Times New Roman"/>
        <family val="1"/>
      </rPr>
      <t>; remontdarbi</t>
    </r>
  </si>
  <si>
    <t>Renovācijas darbi: noliktava, Āzenes 16/20-149, 33m2; remontdarbi</t>
  </si>
  <si>
    <t>Renovācijas darbi: ūdens pētniecības laboratorija, Āzenes 16/20-142, 71m2; remontdarbi</t>
  </si>
  <si>
    <t>Renovācijas darbi: anaerobo procesu izpētes laboratorija/Paraugu sagatavošanas un hidrolīzes telpa, Āzenes 16/20-151a, 71.5m2;  remontdarbi</t>
  </si>
  <si>
    <t>Renovācijas darbi: vidējās bakterioloģiskā drošuma kabinets/Tīrā telpa/Sēņu kabinets, Āzenes 16/20-151, 21.5m2;  remontdarbi</t>
  </si>
  <si>
    <t>Renovācijas darbi: FTIR telpa, Āzenes 16/20-151.telpa, 24m2;  remontdarbi</t>
  </si>
  <si>
    <t>Renovācijas darbi: mācību laboratorija, Āzenes 16/20, 330, 52m2; remontdarbu veikšana</t>
  </si>
  <si>
    <t>Renovācijas darbi: zinātniski pētnieciskā laboratorija, Meža iela 1/7, Pagrabtelpa, 52.4m2; remontdarbi</t>
  </si>
  <si>
    <t>Renovācijas darbi: mācību / pētniecības ēka Rīgā, Zeļļu ielā 8; Laboratoriju korpusa 2 pagraba telpas, 135.82m2; remontdarbi</t>
  </si>
  <si>
    <t>Enerģijas uzkrājēju sistēma. iekārtu izgatavošana, piegāde</t>
  </si>
  <si>
    <t>Natūra</t>
  </si>
  <si>
    <t>kopā natūra</t>
  </si>
  <si>
    <t>Būvuzraudzība</t>
  </si>
  <si>
    <r>
      <t>Laboratorijas korpuss, Āzenes ielā (1296m2) - būvniecība, labiekārtošana</t>
    </r>
    <r>
      <rPr>
        <b/>
        <strike/>
        <sz val="9"/>
        <color indexed="8"/>
        <rFont val="Times New Roman"/>
        <family val="1"/>
      </rPr>
      <t xml:space="preserve"> (t.sk. 8588 Ls būvuzraidzība)</t>
    </r>
  </si>
  <si>
    <t>Būvuzraudzība un autoruzraudzība</t>
  </si>
  <si>
    <r>
      <t>jauna būve 'LU Akadēmiskais centrs' (359.7m2); būvniecības darbi (</t>
    </r>
    <r>
      <rPr>
        <b/>
        <strike/>
        <sz val="9"/>
        <color indexed="8"/>
        <rFont val="Times New Roman"/>
        <family val="1"/>
      </rPr>
      <t>t.sk. 4368 Ls būvuzraidzība un autoruzraudzība</t>
    </r>
    <r>
      <rPr>
        <b/>
        <sz val="9"/>
        <color indexed="8"/>
        <rFont val="Times New Roman"/>
        <family val="1"/>
      </rPr>
      <t>)</t>
    </r>
  </si>
  <si>
    <t xml:space="preserve">  </t>
  </si>
  <si>
    <t xml:space="preserve">                      </t>
  </si>
  <si>
    <t xml:space="preserve">                                                                </t>
  </si>
  <si>
    <t xml:space="preserve">                       </t>
  </si>
  <si>
    <t xml:space="preserve">                     </t>
  </si>
  <si>
    <t>Iepirkuma procedūra</t>
  </si>
  <si>
    <t>Iekārtas izgatavošana, piegāde</t>
  </si>
  <si>
    <t>Iekārtas uzstādīšana, testēšana</t>
  </si>
  <si>
    <t>Būvniecība, remonts</t>
  </si>
  <si>
    <t>No ERAF pieprasītais avansa maksājums =</t>
  </si>
  <si>
    <t>, kas jāiztērē projekta pirmajos 6 mēnešos</t>
  </si>
  <si>
    <t>1.etaps</t>
  </si>
  <si>
    <t>2.etaps</t>
  </si>
  <si>
    <t>Ēku energoefektivitātes simulators; iekārtas izgatavošana, piegāde 219 391 Ls</t>
  </si>
  <si>
    <t>jau nopirkts</t>
  </si>
  <si>
    <t>Bezeļļas vakuumsistēma ar vakuummērītāju, augstvakuuma sūknis ar turbomelekulāro sūkni</t>
  </si>
  <si>
    <t>Zinātnieku darba vietu mēbeļu un aprīkojuma (9gb) LU FMF iegāde</t>
  </si>
  <si>
    <t>Zinātnieku darba vietu mēbeļu un aprīkojuma (6gb) LU geo fakultātei iegāde</t>
  </si>
  <si>
    <t>vajag</t>
  </si>
  <si>
    <t>iznāk</t>
  </si>
  <si>
    <t>Naudas plūsma</t>
  </si>
  <si>
    <t xml:space="preserve">ERAF finansējums </t>
  </si>
  <si>
    <r>
      <t xml:space="preserve">Projekta kopējā summa </t>
    </r>
    <r>
      <rPr>
        <b/>
        <sz val="10"/>
        <color indexed="8"/>
        <rFont val="Arial Narrow"/>
        <family val="2"/>
      </rPr>
      <t>8243971</t>
    </r>
  </si>
  <si>
    <t>Degšanas procesu pētniecības iekārta</t>
  </si>
  <si>
    <t>Kumulatīvie izdevumi</t>
  </si>
  <si>
    <t>PVN</t>
  </si>
  <si>
    <t>NPD, %</t>
  </si>
  <si>
    <t>2.2.2. Plūsmas citometrs</t>
  </si>
  <si>
    <t>2.1.2. Kvantitatīva pirosekvenēšanas sistēma</t>
  </si>
  <si>
    <t>2.3.2. Mikroviļņu mineralizācijas iekārta</t>
  </si>
  <si>
    <t>2.4.2. Eksperimentālo regulējamo klimata kameru bloks</t>
  </si>
  <si>
    <t>2.5.2. Zemfrekvences elektromagnētiskā lauka mērītājs</t>
  </si>
  <si>
    <t>Neattiecināmais PVN</t>
  </si>
  <si>
    <t>6 mēnešos</t>
  </si>
  <si>
    <t>4 mēnešos</t>
  </si>
  <si>
    <t>AE šķidruma hromatogrāfs</t>
  </si>
  <si>
    <t>Plānotie attiecināmie izdevumi</t>
  </si>
  <si>
    <t>Attiecināmie izdevumi</t>
  </si>
  <si>
    <t>ERAFfinansējums 89.78%</t>
  </si>
  <si>
    <t>10% no ERAF finansējuma</t>
  </si>
  <si>
    <t>ERAF-avanss-10%</t>
  </si>
  <si>
    <t>Vēl pirms projekta beigām saņemamā nauda</t>
  </si>
  <si>
    <t>Līdzfinansējums</t>
  </si>
  <si>
    <t>bez natūras</t>
  </si>
  <si>
    <t>90% no ERAF finansējuma</t>
  </si>
  <si>
    <t xml:space="preserve">Finansējums 
</t>
  </si>
  <si>
    <t xml:space="preserve">Līdzfinansējums </t>
  </si>
  <si>
    <t>Priekšfinansējums</t>
  </si>
  <si>
    <t>Avanss piegādātājiem</t>
  </si>
  <si>
    <t>ok</t>
  </si>
  <si>
    <t>Skaits</t>
  </si>
  <si>
    <t>Atrašanās vieta</t>
  </si>
  <si>
    <t>Automātiskais kalorimetrs C 2000 Basic V1 ar C 5030 atgaisošanas iekārtu un C 25 vārstu</t>
  </si>
  <si>
    <t>TOC analizators FORMACS HT/PRIMACS MCS</t>
  </si>
  <si>
    <t>Viļņu garuma dispersijas rentgenfluorescences iekārta Supermini</t>
  </si>
  <si>
    <t>Iekārta biodegvielas analīzei i-SPEC Q100</t>
  </si>
  <si>
    <t>Nosaukums un modelis līgumā, pavadzīmē an aktā par pieņemšanu ekspluatācijā</t>
  </si>
  <si>
    <t>Laboratorijas reaktori (Autoklāvu komplekts). Sastāv no Augsta spiediena un augstas temperatūras reaktora, Mahoney-Robinson tipa reaktora, Carberry tipa reaktora.</t>
  </si>
  <si>
    <t>CHN-S analizators ar mikrosvariem</t>
  </si>
  <si>
    <t>Augstefektīvā škidrumu hromatografijas sistēma NEXERA UHPLC</t>
  </si>
  <si>
    <t>Nr.</t>
  </si>
  <si>
    <t>Saduļķošanās un sasalšanas temperatūras noteicējs ISL, modelis: CPP 5Gs</t>
  </si>
  <si>
    <t>Raidītāju un uztvērēju komplekti attālinātai skaņas pārraidīšanai Sennheiser, modelis: ew 100-ENG G3.</t>
  </si>
  <si>
    <t>Multimediju pētniecības laboratorijas aprīkojums Datori M79, monitor: DELL LCD DELL UltraSharp U2410; Adobe CS 6 Production Prem 6 S&amp;T lic.</t>
  </si>
  <si>
    <t>Portatīvās skaņas ieraksta ierīču ar sinhronizāciju komplekts Fostex FR-2LE; karte: SanDisk CF Extreme 8GB un ZOOM Coorporation, modelis: H4n.</t>
  </si>
  <si>
    <t>Hromatiskās dispersijas (CD) mērītājs ar iespēju matemātiski rēķināt PMD EXFO CD PMD analyzer kit in FTB-500 platform un OSA in FTB-200 platform TK-200-5240S-P-InB</t>
  </si>
  <si>
    <t>Polarizācijas modas dispersijas mērītājs EXFO, PMD analyzer kit in FTB-500 platform</t>
  </si>
  <si>
    <t>Pazemināta trokšņu līmeņa skaņas ieraksta un audio mērījumu darbstacija HFX, modelis: HFX  classic media I7. Monitors DELL LCD Ultrasharp U2410, ASUS XONAR (1 kompl.)</t>
  </si>
  <si>
    <t>Homogenizācijas iekārta Grindomix GM200 MM400</t>
  </si>
  <si>
    <t>Iekārtu komplekts laboratorijas trauku attīrīšanai GW4090C</t>
  </si>
  <si>
    <t>Saldētava EUF-27391W5, Electrolux</t>
  </si>
  <si>
    <t>Moduļveida komplekss termoplastisku kompozītmateriālu iegūšanai</t>
  </si>
  <si>
    <t>Paraugu apstrādes, analīzes un sagatavošanas iekārtu komplekts.</t>
  </si>
  <si>
    <t>Lāzerskanēšanas sistēmai adaptēts fluorescentais mikroskops</t>
  </si>
  <si>
    <t>Iekārtu komplekts virsmas sorbcijas pētījumiem ar 4 paraugu analīzes stacijām, evakuēšanas sistēmas komplektu, programmat. vadības bloku</t>
  </si>
  <si>
    <t>Fluorescences spektrometrs PicoMaster1, ražot. PhotoMed GmbH</t>
  </si>
  <si>
    <t>Augstas izšķirtspējas šķidruma hromatogrāfs (HPLC) Flexar FX-10</t>
  </si>
  <si>
    <t>Augsttemperatūras vakuuma krāsns Nabertherm RHTC 80-710</t>
  </si>
  <si>
    <t>Superkritiskā šķidruma ekstrakcijas sistēma SFT-110XW, ražotājs: Supercritical Fluid Technologies</t>
  </si>
  <si>
    <t>Vakuuma žāvskapis Vaciotem-T, ražotājs: J.P.Selecta S.A.</t>
  </si>
  <si>
    <t xml:space="preserve">Šķidrumu krāsas noteicējs PFXi-195/2, ražotājs: The Tintometer Ltd. </t>
  </si>
  <si>
    <t>Mufeļkrāsns HTC 03/16, ražotājs: Nabertherm</t>
  </si>
  <si>
    <t xml:space="preserve">Analītiskie svari ES 220A, ražotājs: Precisa Gravimetrics </t>
  </si>
  <si>
    <t>Speciālā mufeļkrāsns CAF D Biomass CARBOLITE Ltd.</t>
  </si>
  <si>
    <t>Dinamiskās gaismas izkliedes iekārta nano un submikro daļiņu izmēru, zeta potenciāla un molekulmasas noteikšanai Zetasizer Nano ZS90, ražotājs: Malvern Instruments Ltd.</t>
  </si>
  <si>
    <t>Siltumfizikālo rādītāju gaismas impulsa analīzes iekārta LFA 447 + MTX, ražotājs: NETZSCH-Geratebau GmbH</t>
  </si>
  <si>
    <t>Plaša frekvenču un temperatūru diapazona dielektriskais spektroskops ar parauga šūnu</t>
  </si>
  <si>
    <t>Elektriskā signāla multipleksors un demultipleksors diapazonā no 100 MHz līdz 56 Ghz ANRITSU</t>
  </si>
  <si>
    <t>Orbitālais kratītājs aerobajai un anaerobajai inkubācijai Innova 43, ražot. New Brunswick Scientific</t>
  </si>
  <si>
    <t>Datu plūsmas ģenerators līdz 4 × 12.5 GHz ANRITSU</t>
  </si>
  <si>
    <t>Z-potenciāla mērītājs Zetasizer ZS90, ražot. Malvern Instruments Ltd.</t>
  </si>
  <si>
    <t>Atomspektrometrs AANALYST 200, ražot. PerkinElmer</t>
  </si>
  <si>
    <t>Aukstuma kamera SCH-1400</t>
  </si>
  <si>
    <t>Ēku energoefektivitātes simulatora komplekts</t>
  </si>
  <si>
    <t>Apdrošināšanas teritorija - Visa Latvija</t>
  </si>
  <si>
    <t>Piegādātāja garantija, laiks no pieņemšanas-nodošanas</t>
  </si>
  <si>
    <t>Bojājumu novēršanas laiks</t>
  </si>
  <si>
    <t>nē, stacionāra iekārta</t>
  </si>
  <si>
    <t>24 mēn.</t>
  </si>
  <si>
    <t>10 darba dienas</t>
  </si>
  <si>
    <t>24 mēneši</t>
  </si>
  <si>
    <t>10 dienas</t>
  </si>
  <si>
    <t>jā</t>
  </si>
  <si>
    <t xml:space="preserve">Dažādi </t>
  </si>
  <si>
    <t>36 mēn.</t>
  </si>
  <si>
    <t>30 (trīsdesmit) dienas</t>
  </si>
  <si>
    <t>Kombinētās barošanas vilces piedziņas stenda un elektriskās piedziņas un to vadības metožu testēšanas stends/sistēma.</t>
  </si>
  <si>
    <t>Kompakta saules enerģijas uzkrāšanas sistēma.</t>
  </si>
  <si>
    <t>Vienība</t>
  </si>
  <si>
    <t>Kompl.</t>
  </si>
  <si>
    <t>Analog-digitālais energosistēmas simulators.</t>
  </si>
  <si>
    <t>Ēku elektroenerģijas patēriņa un analīzes mēriekārtu komplekts.</t>
  </si>
  <si>
    <t>Kompleksa monitoringa sistēma ēku energoefektivitātes noteikšanai.</t>
  </si>
  <si>
    <t>Iekārta</t>
  </si>
  <si>
    <t>Daudzplatformu mediju sagatavošanas, plūsmošanas, satura un datu uzkrāšanas, analīzes sistēma  e-, t- m- platformām (aparatūras un programmatūras komplekts)</t>
  </si>
  <si>
    <t>Šķidruma hromatogrāfa ar UV un fluoriscento detektoru kompl.</t>
  </si>
  <si>
    <t>Tekstilmateriālu fizikālo īpašību testēšanas komplekts</t>
  </si>
  <si>
    <t>Dinamikas testēšanas iekārtu modernizācijas komplekts</t>
  </si>
  <si>
    <t>Pētniecības komplekss RAMAN-AFM</t>
  </si>
  <si>
    <t>Universālais šķiedru pārstrādes iekārtu komplekss</t>
  </si>
  <si>
    <t>Ultra augstas izšķiršanas spējas (0,8nm) skenējošais elektronu mikroskops (SEM).</t>
  </si>
  <si>
    <t>Rīga, Kronvalda bulv. 1</t>
  </si>
  <si>
    <t>Rīga, Kaļķu 1</t>
  </si>
  <si>
    <t>Rīga, Āzenes 20</t>
  </si>
  <si>
    <t>Rīga, Pulka 3/3</t>
  </si>
  <si>
    <t xml:space="preserve">Rīga, Pulka 3/3 </t>
  </si>
  <si>
    <t>Rīga, Āzenes iela 20</t>
  </si>
  <si>
    <t>Rīga, Pulka iela 3/3</t>
  </si>
  <si>
    <t>Iepirkumam Nr. RTU-2014/26</t>
  </si>
  <si>
    <t>Projekts</t>
  </si>
  <si>
    <t xml:space="preserve">Apdrošinājuma summa ar PVN LVL </t>
  </si>
  <si>
    <t>Apdrošinājuma summa ar PVN EUR</t>
  </si>
  <si>
    <t>EVIIT</t>
  </si>
  <si>
    <t>Rīga, Paula Valdena iela 3</t>
  </si>
  <si>
    <t>IKSA-CENTRS</t>
  </si>
  <si>
    <t>Rīga, Āzenes 16</t>
  </si>
  <si>
    <t>LATNANO</t>
  </si>
  <si>
    <t>Rīga, Paula Valdena 3</t>
  </si>
  <si>
    <t>Mēraparatūras un laboratoriju aprīkojuma komplekts.</t>
  </si>
  <si>
    <t>Kronvalda bulv. 1, 210. telpa,  317. telpa; Meža iela 1 k-1, 107. telpa (pagaidu vieta)</t>
  </si>
  <si>
    <t>nav nepieciešams</t>
  </si>
  <si>
    <t>Ēku gaisa apmaiņas noteikšanas iekārta LumaSense Technologies INNOVA 1412i</t>
  </si>
  <si>
    <t>Kronvalda bulv. 1, 022. kab. (Vides laboratorija)</t>
  </si>
  <si>
    <t>jā, pārnēsājams</t>
  </si>
  <si>
    <t>12 mēneši</t>
  </si>
  <si>
    <t>Infrasarkano staru spektometrs Appha, ražot. Bruker Baltic GmbH</t>
  </si>
  <si>
    <t>12-120 mēneši, atkarībā no komplekta sastāvdaļas</t>
  </si>
  <si>
    <t>Velkmes skapis darbam ar indīgām ķīmiskām vielām, ražotājs: Merci S.R.O., modelis: Merci-12-00</t>
  </si>
  <si>
    <t>Tribometrs komplektācijā UMT-3, ražotājs: CSM Instruments SA, modelis: TRB-S-EE-000</t>
  </si>
  <si>
    <t>Rīga, Ezermalas iela 6</t>
  </si>
  <si>
    <t>48 mēneši</t>
  </si>
  <si>
    <t>Pārnēsājams EKG aparāts ar fizioloģisko parametru nolasīšanas sensoriem Cardiovit MS-2010, ražotājs: Schiller AG</t>
  </si>
  <si>
    <t>Rīga, Meža iela 1 k-4</t>
  </si>
  <si>
    <t>nav garantijas</t>
  </si>
  <si>
    <t xml:space="preserve">Ciparu vadības prototipēšanas iekārta - 3D frēzes komplekts MiniMill, ražotājs Haas CNC </t>
  </si>
  <si>
    <t>Pulvermateriālu apstrādes un analīzes iekārtu komplekss</t>
  </si>
  <si>
    <t>7 dienas</t>
  </si>
  <si>
    <t>Divu kapilāru reometrs ar piederumiem RH7, ražotājs: Malvern Instruments</t>
  </si>
  <si>
    <t>Veltņu tipa elektrovērpšanas iekārta NS Lab 200, ražot. Elmarco s.r.o. un ultraskaņas kompakta laboratorijas iekārta UP200H, ražot. Hielscher</t>
  </si>
  <si>
    <t>Rīga, Āzenes 18</t>
  </si>
  <si>
    <t>Virsmas stāvokļa analīzes iekārta: Optiskais tenziometrs Theta, ražot. Biolin Scientific AB; Gaisa kompresors 150/500, ražot. Babi Air Compressors Ltd.; Datora komplekts.</t>
  </si>
  <si>
    <t>Ultra  tīra laboratorijas ūdens sagatvošanas iekārta Elga Purelab Ultra Genetics</t>
  </si>
  <si>
    <t xml:space="preserve">Rīga, Āzenes 20 </t>
  </si>
  <si>
    <t>Optisko mērījumu iekārta - 3D skeneris VITUS Smart XXL ar Anthroscan programmat.</t>
  </si>
  <si>
    <t xml:space="preserve">Rīga, Āzenes iela 18 </t>
  </si>
  <si>
    <t>Augstas precizitātes statikas un nogurumu pārbaudes iekārta ElectroPuls E10000 Linear-Torison, ražotājs: Instron</t>
  </si>
  <si>
    <t>Kopml.</t>
  </si>
  <si>
    <t>14 dienas</t>
  </si>
  <si>
    <t>Ķīmisko reakciju monitoringa un procesu analītiskās tehnoloģijas nodrošinājuma divkanālu spektometrs Raman RXN1 Analyzer-785nm, ar sensora galviņu MR-Probe-785 un impresijas optiku IO018S-NIR</t>
  </si>
  <si>
    <t>7 kanedārās dienas</t>
  </si>
  <si>
    <t>Sistēmdinamiskais simulācijas komplekss: serveris PDL380p GEN8 8-SFF CTO, nepārtrauktās strāvas nodrošin. iekārta APC SMT1000RMI2U, programmatūra Vensim Simulation DSS, programmatūra general algebraic modeling system</t>
  </si>
  <si>
    <t>Rīga, Kalnciema iela 6</t>
  </si>
  <si>
    <t>Nekustamā īpaš.pārvald. Un attīstīšanas komplekss: termogrāfijas kamera B660 un atbilstošais programmnodrošinājums; stacionārais dators INTEL Core i7-3930K</t>
  </si>
  <si>
    <t>Vides, teritorijas, infrastruktūras attīstīšanas modelēšanas komplekss.</t>
  </si>
  <si>
    <t>Iekārtas iegādes vērtība ar PVN</t>
  </si>
  <si>
    <t>Apdrošināšanas prēma EUR</t>
  </si>
  <si>
    <t>Apdrošināšanas prēmijas % no iekārtu vērtības (nemainīgu uz visu vienošanās laiku)</t>
  </si>
  <si>
    <t>Pielikums Nr.3</t>
  </si>
  <si>
    <t>Apdrošināšanas prēmija iekārtu apdrošināšanā</t>
  </si>
  <si>
    <t>KOPĀ</t>
  </si>
  <si>
    <t>ERAF projekts „Enerģijas un vides resursu ieguves un ilgtspējas izmantošanas tehnoloģiju valsts nozīmes pētniecības centra izveide (ietverot arī Transporta un mašīnbūves centra attīstību)” , Vienošanās Nr. 2011/0060/2DP/2.1.1.3.1./11/IPIA/VIAA/007</t>
  </si>
  <si>
    <r>
      <t xml:space="preserve">ERAF projekts „(IKSA-CENTRS) </t>
    </r>
    <r>
      <rPr>
        <sz val="11"/>
        <color indexed="8"/>
        <rFont val="Times New Roman"/>
        <family val="1"/>
      </rPr>
      <t>Informācijas, komunikāciju un signālapstrādes tehnoloģiju valsts nozīmes pētniecības centra izveide</t>
    </r>
    <r>
      <rPr>
        <sz val="12"/>
        <color indexed="8"/>
        <rFont val="Times New Roman"/>
        <family val="1"/>
      </rPr>
      <t>”, Vienošanās Nr. 2011/0044/2DP/2.1.1.3.1./11/IPIA/VIAA/006</t>
    </r>
  </si>
  <si>
    <t>ERAF projekts „Nanostrukturēto un daudzfunkcionālo materiālu, konstrukciju un tehnoloģiju Valsts nozīmes pētniecības centra zinātniskās infrastruktūras attīstīšana”,  Vienošanās Nr. 2011/0041/2DP/2.1.1.3.1./11/IPIA/VIAA/004</t>
  </si>
  <si>
    <t>Pašrisks EUR 70 par gadījumu</t>
  </si>
  <si>
    <t>Preces nosaukums</t>
  </si>
  <si>
    <t>Preces iegādes vērtība ar PVN</t>
  </si>
  <si>
    <t>Apdrošināšanas prēmijas % no Preces vērtības (nemainīgs uz visu vienošanās laiku)</t>
  </si>
  <si>
    <t>Nav</t>
  </si>
  <si>
    <t>Nr.p.k.</t>
  </si>
  <si>
    <t>Ar šo apstiprinām un garantējam:</t>
  </si>
  <si>
    <r>
      <t>1)</t>
    </r>
    <r>
      <rPr>
        <sz val="7"/>
        <color indexed="8"/>
        <rFont val="Times New Roman"/>
        <family val="1"/>
      </rPr>
      <t xml:space="preserve">      </t>
    </r>
    <r>
      <rPr>
        <sz val="12"/>
        <color indexed="8"/>
        <rFont val="Times New Roman"/>
        <family val="1"/>
      </rPr>
      <t>sniegto ziņu patiesumu un precizitāti</t>
    </r>
  </si>
  <si>
    <t>Pilnvarotās personas paraksts</t>
  </si>
  <si>
    <t>Parakstītāja vārds, uzvārds un amats: _________________</t>
  </si>
  <si>
    <t>Datums:____________</t>
  </si>
  <si>
    <t>FINANŠU PIEDĀVĀJUMS</t>
  </si>
  <si>
    <t xml:space="preserve">Vispārīgās vienošanās darbības termiņš ir no 2014.gada 1.aprīļa līdz 2015.gada 31.augustam vai līdz plānotās līgumcenas (EUR 4 250,00) sasniegšanai, atkarībā no tā, kurš no apstākļiem iestājas pirmais. 
</t>
  </si>
  <si>
    <t>Apdrošināšanas prēmija zinātnisko darbinieku darba vietu aprīkojuma un to atbilstošās programmatūras apdrošināšanā*</t>
  </si>
  <si>
    <t>Materiālu mehānisko rakturlielumu pārbaudes iekārta QuantumX, modelis MX840-PAKAP</t>
  </si>
  <si>
    <t>Iepirkumam „Zinātniskās aparatūras, zinātnisko darbinieku darba vietu un tā aprīkojuma apdrošināšana Rīgas Tehniskās universitātes vajadzībām projektu ietvaros”, ID Nr.: RTU-2014/26</t>
  </si>
  <si>
    <t xml:space="preserve"> 1.sadaļa „Zinātniskās aparatūras apdrošināšana (un to atbalstošā programmatūra)”</t>
  </si>
  <si>
    <t>2.sadaļa „Zinātnisko darbinieku darba vietu aprīkojuma apdrošināšana (un to atbalstošā programmatūra)”</t>
  </si>
  <si>
    <t xml:space="preserve">Iepirkuma ietvaros tiks slēgta Vispārīgā vienošanās, kuras laikā Pasūtītājam ir tiesības veikt zinātnisko aparatūru, zinātnisko darbinieku darba vietu aprīkojuma un to atbalstošo programmatūru apdrošināšanu. </t>
  </si>
  <si>
    <r>
      <t>2)</t>
    </r>
    <r>
      <rPr>
        <sz val="7"/>
        <color indexed="8"/>
        <rFont val="Times New Roman"/>
        <family val="1"/>
      </rPr>
      <t xml:space="preserve">      </t>
    </r>
    <r>
      <rPr>
        <sz val="12"/>
        <color indexed="8"/>
        <rFont val="Times New Roman"/>
        <family val="1"/>
      </rPr>
      <t>cenā ir iekļautas visas izmaksas, kas saistītas ar Pakalpojuma izpildīšanu, tajā skaitā visi normatīvajos aktos paredzētie nodokļi un nodevas, izņemot pievienotās vērtības nodokli.</t>
    </r>
  </si>
  <si>
    <t>Piedāvātā kopējā cena (prēmija) apdrošināšas periodam bez PVN, EUR (par noteiktajām precēm) _________________</t>
  </si>
  <si>
    <t>Pasūtītājam ir tiesības veikt Preču apdrošināšanu, kas nav iekļautas 1.sadaļā (nolikuma 3.pielikums). Kārtība papildus Preču apdrošināšanai noteikta nolikuma Pielikumā Nr.4 "Vispārīgā vienošanās".</t>
  </si>
  <si>
    <t>Piedāvātā kopējā cena (prēmija) apdrošināšas periodam bez PVN, EUR tiks izmantota kā vērtēšanas kritērijs (piedāvājums ar viszemāko cenu). Vispārīgā vienošanās tiks slēgta kopējai līgumcenai bez PVN visā Vispārīgās vienošanās darbības periodā nepārsniedzot EUR 4 250,00.</t>
  </si>
  <si>
    <r>
      <t xml:space="preserve">*Pašlaik nav veikta zinātnisko darbinieku darba vietu aprīkojuma un to atbalstošās programmatūras iegāde. Līdz ar to, pretendentam, aizpildot finanšu piedāvājuma formu par 2.sadaļu, nav jānorāda apdrošināšanas prēmija EUR, jo Finanšu piedāvājumā nav uzskaitīta zinātnisko darbinieku darba vietu aprīkojums un to atbalstošā programmatūra, bet ir jānorāda apdrošināšanas prēmijas % no Preces vērtības (nemainīga uz visu vienošanās laiku). </t>
    </r>
    <r>
      <rPr>
        <sz val="8"/>
        <color indexed="8"/>
        <rFont val="Cambria"/>
        <family val="1"/>
      </rPr>
      <t> </t>
    </r>
  </si>
  <si>
    <t>Apdrošināšanas prēmija EUR apdrošināšanas periodam (no 01.04.2014. līdz 31.08.2015.) bez PVN</t>
  </si>
</sst>
</file>

<file path=xl/styles.xml><?xml version="1.0" encoding="utf-8"?>
<styleSheet xmlns="http://schemas.openxmlformats.org/spreadsheetml/2006/main">
  <numFmts count="7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00"/>
    <numFmt numFmtId="186" formatCode="00,000.00"/>
    <numFmt numFmtId="187" formatCode="000,000.00"/>
    <numFmt numFmtId="188" formatCode="#0.00"/>
    <numFmt numFmtId="189" formatCode="0.00;[Red]0.00"/>
    <numFmt numFmtId="190" formatCode="0.0"/>
    <numFmt numFmtId="191" formatCode="0_ ;[Red]\-0\ "/>
    <numFmt numFmtId="192" formatCode="00000000000000"/>
    <numFmt numFmtId="193" formatCode="0.0000"/>
    <numFmt numFmtId="194" formatCode="0.000"/>
    <numFmt numFmtId="195" formatCode="#,##0&quot;LVL&quot;;\-#,##0&quot;LVL&quot;"/>
    <numFmt numFmtId="196" formatCode="#,##0&quot;LVL&quot;;[Red]\-#,##0&quot;LVL&quot;"/>
    <numFmt numFmtId="197" formatCode="#,##0.00&quot;LVL&quot;;\-#,##0.00&quot;LVL&quot;"/>
    <numFmt numFmtId="198" formatCode="#,##0.00&quot;LVL&quot;;[Red]\-#,##0.00&quot;LVL&quot;"/>
    <numFmt numFmtId="199" formatCode="_-* #,##0&quot;LVL&quot;_-;\-* #,##0&quot;LVL&quot;_-;_-* &quot;-&quot;&quot;LVL&quot;_-;_-@_-"/>
    <numFmt numFmtId="200" formatCode="_-* #,##0_L_V_L_-;\-* #,##0_L_V_L_-;_-* &quot;-&quot;_L_V_L_-;_-@_-"/>
    <numFmt numFmtId="201" formatCode="_-* #,##0.00&quot;LVL&quot;_-;\-* #,##0.00&quot;LVL&quot;_-;_-* &quot;-&quot;??&quot;LVL&quot;_-;_-@_-"/>
    <numFmt numFmtId="202" formatCode="_-* #,##0.00_L_V_L_-;\-* #,##0.00_L_V_L_-;_-* &quot;-&quot;??_L_V_L_-;_-@_-"/>
    <numFmt numFmtId="203" formatCode="&quot;Ls&quot;\ #,##0.00"/>
    <numFmt numFmtId="204" formatCode="###,###,###"/>
    <numFmt numFmtId="205" formatCode="#,##0.0"/>
    <numFmt numFmtId="206" formatCode="0.00000"/>
    <numFmt numFmtId="207" formatCode="0.0%"/>
    <numFmt numFmtId="208" formatCode="0.000%"/>
    <numFmt numFmtId="209" formatCode="0.00_ ;[Red]\-0.00\ "/>
    <numFmt numFmtId="210" formatCode="0.0_ ;[Red]\-0.0\ "/>
    <numFmt numFmtId="211" formatCode="0.00000000"/>
    <numFmt numFmtId="212" formatCode="0.0000000"/>
    <numFmt numFmtId="213" formatCode="0.000000"/>
    <numFmt numFmtId="214" formatCode="0.000_ ;[Red]\-0.000\ "/>
    <numFmt numFmtId="215" formatCode="_-* #,##0_-;\-* #,##0_-;_-* &quot;-&quot;??_-;_-@_-"/>
    <numFmt numFmtId="216" formatCode="#,##0.000"/>
    <numFmt numFmtId="217" formatCode="#,##0.0000"/>
    <numFmt numFmtId="218" formatCode="0.0000%"/>
    <numFmt numFmtId="219" formatCode="0.00000%"/>
    <numFmt numFmtId="220" formatCode="0.000000%"/>
    <numFmt numFmtId="221" formatCode="[$-426]dddd\,\ yyyy&quot;. gada &quot;d\.\ mmmm"/>
    <numFmt numFmtId="222" formatCode="#,##0.00000"/>
    <numFmt numFmtId="223" formatCode="#,##0.000000"/>
    <numFmt numFmtId="224" formatCode="#,##0.0000000"/>
    <numFmt numFmtId="225" formatCode="#,##0.000000000"/>
    <numFmt numFmtId="226" formatCode="#,##0.0000000000"/>
    <numFmt numFmtId="227" formatCode="#,##0.00000000"/>
  </numFmts>
  <fonts count="73">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10"/>
      <color indexed="8"/>
      <name val="Arial"/>
      <family val="2"/>
    </font>
    <font>
      <b/>
      <sz val="18"/>
      <color indexed="56"/>
      <name val="Cambria"/>
      <family val="2"/>
    </font>
    <font>
      <sz val="8"/>
      <name val="Calibri"/>
      <family val="2"/>
    </font>
    <font>
      <sz val="9"/>
      <color indexed="8"/>
      <name val="Arial Narrow"/>
      <family val="2"/>
    </font>
    <font>
      <sz val="8"/>
      <color indexed="8"/>
      <name val="Calibri"/>
      <family val="2"/>
    </font>
    <font>
      <sz val="8"/>
      <color indexed="8"/>
      <name val="Arial Narrow"/>
      <family val="2"/>
    </font>
    <font>
      <sz val="8"/>
      <color indexed="8"/>
      <name val="Times New Roman"/>
      <family val="1"/>
    </font>
    <font>
      <sz val="8"/>
      <name val="Times New Roman"/>
      <family val="1"/>
    </font>
    <font>
      <sz val="8"/>
      <color indexed="10"/>
      <name val="Arial Narrow"/>
      <family val="2"/>
    </font>
    <font>
      <b/>
      <sz val="8"/>
      <name val="Times New Roman"/>
      <family val="1"/>
    </font>
    <font>
      <sz val="9"/>
      <name val="Arial Narrow"/>
      <family val="2"/>
    </font>
    <font>
      <sz val="9"/>
      <color indexed="8"/>
      <name val="Calibri"/>
      <family val="2"/>
    </font>
    <font>
      <b/>
      <sz val="8"/>
      <color indexed="10"/>
      <name val="Arial Narrow"/>
      <family val="2"/>
    </font>
    <font>
      <sz val="10"/>
      <color indexed="8"/>
      <name val="Arial Narrow"/>
      <family val="2"/>
    </font>
    <font>
      <sz val="9"/>
      <color indexed="8"/>
      <name val="Times New Roman"/>
      <family val="1"/>
    </font>
    <font>
      <sz val="9"/>
      <name val="Times New Roman"/>
      <family val="1"/>
    </font>
    <font>
      <b/>
      <sz val="9"/>
      <color indexed="8"/>
      <name val="Times New Roman"/>
      <family val="1"/>
    </font>
    <font>
      <b/>
      <sz val="9"/>
      <name val="Times New Roman"/>
      <family val="1"/>
    </font>
    <font>
      <i/>
      <sz val="9"/>
      <color indexed="8"/>
      <name val="Times New Roman"/>
      <family val="1"/>
    </font>
    <font>
      <b/>
      <sz val="9"/>
      <name val="Arial Narrow"/>
      <family val="2"/>
    </font>
    <font>
      <sz val="8"/>
      <name val="Arial Narrow"/>
      <family val="2"/>
    </font>
    <font>
      <sz val="6"/>
      <color indexed="8"/>
      <name val="Arial Narrow"/>
      <family val="2"/>
    </font>
    <font>
      <sz val="6"/>
      <color indexed="8"/>
      <name val="Calibri"/>
      <family val="2"/>
    </font>
    <font>
      <sz val="9"/>
      <color indexed="16"/>
      <name val="Times New Roman"/>
      <family val="1"/>
    </font>
    <font>
      <sz val="12"/>
      <color indexed="8"/>
      <name val="Times New Roman"/>
      <family val="1"/>
    </font>
    <font>
      <b/>
      <sz val="10"/>
      <color indexed="8"/>
      <name val="Times New Roman"/>
      <family val="1"/>
    </font>
    <font>
      <b/>
      <sz val="10"/>
      <color indexed="8"/>
      <name val="Arial Narrow"/>
      <family val="2"/>
    </font>
    <font>
      <b/>
      <strike/>
      <sz val="9"/>
      <color indexed="8"/>
      <name val="Times New Roman"/>
      <family val="1"/>
    </font>
    <font>
      <b/>
      <sz val="14"/>
      <color indexed="8"/>
      <name val="Arial Narrow"/>
      <family val="2"/>
    </font>
    <font>
      <b/>
      <sz val="10"/>
      <name val="Arial Narrow"/>
      <family val="2"/>
    </font>
    <font>
      <b/>
      <sz val="11"/>
      <color indexed="8"/>
      <name val="Arial Narrow"/>
      <family val="2"/>
    </font>
    <font>
      <b/>
      <sz val="11"/>
      <name val="Arial Narrow"/>
      <family val="2"/>
    </font>
    <font>
      <sz val="10"/>
      <color indexed="8"/>
      <name val="Times New Roman"/>
      <family val="1"/>
    </font>
    <font>
      <b/>
      <sz val="12"/>
      <color indexed="8"/>
      <name val="Times New Roman"/>
      <family val="1"/>
    </font>
    <font>
      <b/>
      <sz val="8"/>
      <color indexed="8"/>
      <name val="Times New Roman"/>
      <family val="1"/>
    </font>
    <font>
      <sz val="8"/>
      <name val="Tahoma"/>
      <family val="2"/>
    </font>
    <font>
      <sz val="10"/>
      <name val="Arial Narrow"/>
      <family val="2"/>
    </font>
    <font>
      <b/>
      <sz val="8"/>
      <color indexed="8"/>
      <name val="Arial Narrow"/>
      <family val="2"/>
    </font>
    <font>
      <sz val="10"/>
      <color indexed="8"/>
      <name val="Calibri"/>
      <family val="2"/>
    </font>
    <font>
      <b/>
      <sz val="8"/>
      <name val="Arial Narrow"/>
      <family val="2"/>
    </font>
    <font>
      <b/>
      <sz val="12"/>
      <color indexed="8"/>
      <name val="Arial Narrow"/>
      <family val="2"/>
    </font>
    <font>
      <b/>
      <sz val="10"/>
      <color indexed="8"/>
      <name val="Calibri"/>
      <family val="2"/>
    </font>
    <font>
      <sz val="11"/>
      <color indexed="8"/>
      <name val="Times New Roman"/>
      <family val="1"/>
    </font>
    <font>
      <sz val="12"/>
      <color indexed="8"/>
      <name val="Times"/>
      <family val="1"/>
    </font>
    <font>
      <b/>
      <sz val="12"/>
      <color indexed="8"/>
      <name val="Times"/>
      <family val="1"/>
    </font>
    <font>
      <sz val="10"/>
      <color indexed="8"/>
      <name val="Times"/>
      <family val="1"/>
    </font>
    <font>
      <sz val="10"/>
      <name val="Times"/>
      <family val="1"/>
    </font>
    <font>
      <b/>
      <sz val="10"/>
      <name val="Times"/>
      <family val="1"/>
    </font>
    <font>
      <b/>
      <sz val="10"/>
      <color indexed="8"/>
      <name val="Times"/>
      <family val="1"/>
    </font>
    <font>
      <sz val="12"/>
      <name val="Times"/>
      <family val="1"/>
    </font>
    <font>
      <sz val="8"/>
      <color indexed="8"/>
      <name val="Cambria"/>
      <family val="1"/>
    </font>
    <font>
      <sz val="7"/>
      <color indexed="8"/>
      <name val="Times New Roman"/>
      <family val="1"/>
    </font>
    <font>
      <sz val="11"/>
      <color theme="1"/>
      <name val="Calibri"/>
      <family val="2"/>
    </font>
    <font>
      <sz val="12"/>
      <color rgb="FF000000"/>
      <name val="Times New Roman"/>
      <family val="1"/>
    </font>
    <font>
      <b/>
      <sz val="8"/>
      <name val="Calibri"/>
      <family val="2"/>
    </font>
  </fonts>
  <fills count="33">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6" tint="0.39998000860214233"/>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medium"/>
      <bottom style="medium"/>
    </border>
    <border>
      <left style="medium"/>
      <right style="thin"/>
      <top style="medium"/>
      <bottom style="medium"/>
    </border>
    <border>
      <left style="medium"/>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thin"/>
      <bottom style="medium"/>
    </border>
    <border>
      <left style="thin"/>
      <right style="thin"/>
      <top>
        <color indexed="63"/>
      </top>
      <bottom style="thin"/>
    </border>
    <border>
      <left>
        <color indexed="63"/>
      </left>
      <right style="thin"/>
      <top style="thin"/>
      <bottom>
        <color indexed="63"/>
      </bottom>
    </border>
    <border>
      <left style="thin"/>
      <right style="thin"/>
      <top style="medium"/>
      <bottom style="medium"/>
    </border>
    <border>
      <left>
        <color indexed="63"/>
      </left>
      <right>
        <color indexed="63"/>
      </right>
      <top style="thin"/>
      <bottom style="medium"/>
    </border>
    <border>
      <left style="thin"/>
      <right style="thin"/>
      <top>
        <color indexed="63"/>
      </top>
      <bottom style="medium"/>
    </border>
    <border>
      <left>
        <color indexed="63"/>
      </left>
      <right style="thin"/>
      <top>
        <color indexed="63"/>
      </top>
      <bottom style="thin"/>
    </border>
    <border>
      <left style="medium"/>
      <right>
        <color indexed="63"/>
      </right>
      <top style="thin"/>
      <bottom style="thin"/>
    </border>
    <border>
      <left style="thin"/>
      <right>
        <color indexed="63"/>
      </right>
      <top style="medium"/>
      <bottom style="medium"/>
    </border>
    <border>
      <left style="thin"/>
      <right>
        <color indexed="63"/>
      </right>
      <top>
        <color indexed="63"/>
      </top>
      <bottom style="thin"/>
    </border>
    <border>
      <left style="medium"/>
      <right/>
      <top/>
      <bottom style="medium"/>
    </border>
    <border>
      <left>
        <color indexed="63"/>
      </left>
      <right style="medium"/>
      <top>
        <color indexed="63"/>
      </top>
      <bottom style="medium"/>
    </border>
    <border>
      <left style="medium"/>
      <right style="thin"/>
      <top/>
      <bottom style="thin"/>
    </border>
    <border>
      <left style="thin"/>
      <right style="medium"/>
      <top>
        <color indexed="63"/>
      </top>
      <bottom style="thin"/>
    </border>
    <border>
      <left style="medium"/>
      <right style="thin"/>
      <top style="thin"/>
      <bottom/>
    </border>
    <border>
      <left style="medium"/>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20" borderId="1" applyNumberFormat="0" applyAlignment="0" applyProtection="0"/>
    <xf numFmtId="0" fontId="3" fillId="5" borderId="0" applyNumberFormat="0" applyBorder="0" applyAlignment="0" applyProtection="0"/>
    <xf numFmtId="0" fontId="4" fillId="0" borderId="0" applyNumberFormat="0" applyFill="0" applyBorder="0" applyAlignment="0" applyProtection="0"/>
    <xf numFmtId="0" fontId="2"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9" borderId="1" applyNumberFormat="0" applyAlignment="0" applyProtection="0"/>
    <xf numFmtId="0" fontId="13" fillId="9" borderId="1" applyNumberFormat="0" applyAlignment="0" applyProtection="0"/>
    <xf numFmtId="0" fontId="14" fillId="20" borderId="6" applyNumberFormat="0" applyAlignment="0" applyProtection="0"/>
    <xf numFmtId="0" fontId="15" fillId="0" borderId="7" applyNumberFormat="0" applyFill="0" applyAlignment="0" applyProtection="0"/>
    <xf numFmtId="0" fontId="8" fillId="6" borderId="0" applyNumberFormat="0" applyBorder="0" applyAlignment="0" applyProtection="0"/>
    <xf numFmtId="0" fontId="16" fillId="0" borderId="8"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0" fillId="0" borderId="0">
      <alignment/>
      <protection/>
    </xf>
    <xf numFmtId="0" fontId="18" fillId="0" borderId="0">
      <alignment/>
      <protection/>
    </xf>
    <xf numFmtId="0" fontId="7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0" fillId="23" borderId="9" applyNumberFormat="0" applyFont="0" applyAlignment="0" applyProtection="0"/>
    <xf numFmtId="0" fontId="14" fillId="20" borderId="6" applyNumberFormat="0" applyAlignment="0" applyProtection="0"/>
    <xf numFmtId="0" fontId="6" fillId="0" borderId="0" applyNumberFormat="0" applyFill="0" applyBorder="0" applyAlignment="0" applyProtection="0"/>
    <xf numFmtId="0" fontId="5" fillId="21" borderId="2" applyNumberFormat="0" applyAlignment="0" applyProtection="0"/>
    <xf numFmtId="9" fontId="0" fillId="0" borderId="0" applyFont="0" applyFill="0" applyBorder="0" applyAlignment="0" applyProtection="0"/>
    <xf numFmtId="0" fontId="0" fillId="23" borderId="9" applyNumberFormat="0" applyFont="0" applyAlignment="0" applyProtection="0"/>
    <xf numFmtId="0" fontId="16" fillId="0" borderId="8" applyNumberFormat="0" applyFill="0" applyAlignment="0" applyProtection="0"/>
    <xf numFmtId="0" fontId="3" fillId="5" borderId="0" applyNumberFormat="0" applyBorder="0" applyAlignment="0" applyProtection="0"/>
    <xf numFmtId="0" fontId="19" fillId="0" borderId="0" applyNumberFormat="0" applyFill="0" applyBorder="0" applyAlignment="0" applyProtection="0"/>
    <xf numFmtId="0" fontId="15" fillId="0" borderId="7"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0" applyNumberFormat="0" applyFill="0" applyBorder="0" applyAlignment="0" applyProtection="0"/>
  </cellStyleXfs>
  <cellXfs count="557">
    <xf numFmtId="0" fontId="0" fillId="0" borderId="0" xfId="0" applyAlignment="1">
      <alignment/>
    </xf>
    <xf numFmtId="0" fontId="21" fillId="0" borderId="0" xfId="0" applyFont="1" applyAlignment="1">
      <alignment/>
    </xf>
    <xf numFmtId="0" fontId="23" fillId="0" borderId="0" xfId="0" applyFont="1" applyAlignment="1">
      <alignment vertical="top"/>
    </xf>
    <xf numFmtId="0" fontId="22" fillId="0" borderId="0" xfId="0" applyFont="1" applyAlignment="1">
      <alignment vertical="top"/>
    </xf>
    <xf numFmtId="0" fontId="23" fillId="0" borderId="0" xfId="0" applyFont="1" applyFill="1" applyAlignment="1">
      <alignment vertical="top"/>
    </xf>
    <xf numFmtId="0" fontId="23" fillId="0" borderId="0" xfId="0" applyFont="1" applyFill="1" applyAlignment="1">
      <alignment horizontal="left" vertical="top"/>
    </xf>
    <xf numFmtId="0" fontId="21" fillId="0" borderId="0" xfId="0" applyFont="1" applyFill="1" applyAlignment="1">
      <alignment/>
    </xf>
    <xf numFmtId="0" fontId="21" fillId="0" borderId="0" xfId="0" applyFont="1" applyAlignment="1">
      <alignment horizontal="justify" vertical="top"/>
    </xf>
    <xf numFmtId="0" fontId="23" fillId="0" borderId="0" xfId="0" applyFont="1" applyAlignment="1">
      <alignment/>
    </xf>
    <xf numFmtId="0" fontId="21" fillId="0" borderId="0" xfId="0" applyFont="1" applyBorder="1" applyAlignment="1">
      <alignment/>
    </xf>
    <xf numFmtId="0" fontId="29" fillId="0" borderId="0" xfId="0" applyFont="1" applyFill="1" applyAlignment="1">
      <alignment/>
    </xf>
    <xf numFmtId="0" fontId="32" fillId="0" borderId="10" xfId="0" applyFont="1" applyBorder="1" applyAlignment="1">
      <alignment horizontal="left" vertical="top" wrapText="1"/>
    </xf>
    <xf numFmtId="0" fontId="32" fillId="0" borderId="10" xfId="0" applyFont="1" applyFill="1" applyBorder="1" applyAlignment="1">
      <alignment horizontal="left" vertical="top" wrapText="1"/>
    </xf>
    <xf numFmtId="0" fontId="23" fillId="0"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0" xfId="0" applyFont="1" applyFill="1" applyAlignment="1">
      <alignment horizontal="right"/>
    </xf>
    <xf numFmtId="0" fontId="35" fillId="15" borderId="10" xfId="0" applyFont="1" applyFill="1" applyBorder="1" applyAlignment="1">
      <alignment horizontal="left" vertical="top"/>
    </xf>
    <xf numFmtId="0" fontId="23" fillId="0" borderId="0" xfId="0" applyFont="1" applyBorder="1" applyAlignment="1">
      <alignment wrapText="1"/>
    </xf>
    <xf numFmtId="0" fontId="23" fillId="0" borderId="10" xfId="0" applyFont="1" applyBorder="1" applyAlignment="1">
      <alignment wrapText="1"/>
    </xf>
    <xf numFmtId="0" fontId="32" fillId="0" borderId="10" xfId="0" applyFont="1" applyFill="1" applyBorder="1" applyAlignment="1">
      <alignment horizontal="left"/>
    </xf>
    <xf numFmtId="0" fontId="33" fillId="0" borderId="10" xfId="0" applyFont="1" applyFill="1" applyBorder="1" applyAlignment="1">
      <alignment horizontal="left" vertical="top" wrapText="1"/>
    </xf>
    <xf numFmtId="0" fontId="32" fillId="0" borderId="10" xfId="0" applyFont="1" applyBorder="1" applyAlignment="1">
      <alignment horizontal="left"/>
    </xf>
    <xf numFmtId="0" fontId="32" fillId="0" borderId="0" xfId="0" applyFont="1" applyAlignment="1">
      <alignment horizontal="left"/>
    </xf>
    <xf numFmtId="4" fontId="23" fillId="0" borderId="0" xfId="0" applyNumberFormat="1" applyFont="1" applyFill="1" applyAlignment="1">
      <alignment horizontal="right"/>
    </xf>
    <xf numFmtId="4" fontId="28" fillId="0" borderId="0" xfId="0" applyNumberFormat="1" applyFont="1" applyFill="1" applyAlignment="1">
      <alignment vertical="center"/>
    </xf>
    <xf numFmtId="4" fontId="28" fillId="0" borderId="10" xfId="0" applyNumberFormat="1" applyFont="1" applyFill="1" applyBorder="1" applyAlignment="1">
      <alignment vertical="center"/>
    </xf>
    <xf numFmtId="4" fontId="28" fillId="0" borderId="12" xfId="0" applyNumberFormat="1" applyFont="1" applyFill="1" applyBorder="1" applyAlignment="1">
      <alignment vertical="center"/>
    </xf>
    <xf numFmtId="4" fontId="44" fillId="0" borderId="13" xfId="0" applyNumberFormat="1" applyFont="1" applyBorder="1" applyAlignment="1">
      <alignment vertical="center"/>
    </xf>
    <xf numFmtId="0" fontId="32" fillId="0" borderId="10" xfId="0" applyFont="1" applyFill="1" applyBorder="1" applyAlignment="1">
      <alignment vertical="center" wrapText="1"/>
    </xf>
    <xf numFmtId="0" fontId="35" fillId="15" borderId="10" xfId="0" applyFont="1" applyFill="1" applyBorder="1" applyAlignment="1">
      <alignment horizontal="left" vertical="center"/>
    </xf>
    <xf numFmtId="0" fontId="33" fillId="0" borderId="10" xfId="0" applyFont="1" applyFill="1" applyBorder="1" applyAlignment="1">
      <alignment vertical="center" wrapText="1"/>
    </xf>
    <xf numFmtId="0" fontId="34" fillId="0" borderId="10" xfId="0" applyFont="1" applyFill="1" applyBorder="1" applyAlignment="1">
      <alignment vertical="center" wrapText="1"/>
    </xf>
    <xf numFmtId="0" fontId="32" fillId="0" borderId="0" xfId="0" applyFont="1" applyAlignment="1">
      <alignment vertical="center"/>
    </xf>
    <xf numFmtId="3" fontId="42" fillId="0" borderId="10" xfId="91" applyNumberFormat="1" applyFont="1" applyBorder="1" applyAlignment="1">
      <alignment horizontal="justify" vertical="center"/>
      <protection/>
    </xf>
    <xf numFmtId="3" fontId="42" fillId="0" borderId="12" xfId="91" applyNumberFormat="1" applyFont="1" applyBorder="1" applyAlignment="1">
      <alignment horizontal="justify" vertical="center"/>
      <protection/>
    </xf>
    <xf numFmtId="3" fontId="43" fillId="0" borderId="14" xfId="0" applyNumberFormat="1" applyFont="1" applyBorder="1" applyAlignment="1">
      <alignment vertical="center"/>
    </xf>
    <xf numFmtId="0" fontId="23" fillId="24" borderId="0" xfId="0" applyFont="1" applyFill="1" applyBorder="1" applyAlignment="1">
      <alignment wrapText="1"/>
    </xf>
    <xf numFmtId="0" fontId="30" fillId="24" borderId="10" xfId="0" applyFont="1" applyFill="1" applyBorder="1" applyAlignment="1">
      <alignment horizontal="center" vertical="center" wrapText="1"/>
    </xf>
    <xf numFmtId="0" fontId="32" fillId="0" borderId="0" xfId="0" applyFont="1" applyAlignment="1">
      <alignment horizontal="right" vertical="center"/>
    </xf>
    <xf numFmtId="0" fontId="32" fillId="0" borderId="10" xfId="0" applyFont="1" applyBorder="1" applyAlignment="1">
      <alignment horizontal="right" vertical="center"/>
    </xf>
    <xf numFmtId="4" fontId="37" fillId="0" borderId="10" xfId="0" applyNumberFormat="1" applyFont="1" applyFill="1" applyBorder="1" applyAlignment="1">
      <alignment vertical="center"/>
    </xf>
    <xf numFmtId="0" fontId="31" fillId="0" borderId="0" xfId="0" applyFont="1" applyAlignment="1">
      <alignment/>
    </xf>
    <xf numFmtId="3" fontId="23" fillId="0" borderId="10" xfId="0" applyNumberFormat="1" applyFont="1" applyBorder="1" applyAlignment="1">
      <alignment wrapText="1"/>
    </xf>
    <xf numFmtId="3" fontId="23" fillId="24" borderId="10" xfId="0" applyNumberFormat="1" applyFont="1" applyFill="1" applyBorder="1" applyAlignment="1">
      <alignment wrapText="1"/>
    </xf>
    <xf numFmtId="0" fontId="23" fillId="0" borderId="0" xfId="0" applyFont="1" applyFill="1" applyBorder="1" applyAlignment="1">
      <alignment wrapText="1"/>
    </xf>
    <xf numFmtId="0" fontId="23" fillId="0" borderId="10" xfId="0" applyFont="1" applyBorder="1" applyAlignment="1">
      <alignment vertical="top"/>
    </xf>
    <xf numFmtId="3" fontId="23" fillId="0" borderId="15" xfId="0" applyNumberFormat="1" applyFont="1" applyFill="1" applyBorder="1" applyAlignment="1">
      <alignment wrapText="1"/>
    </xf>
    <xf numFmtId="3" fontId="23" fillId="0" borderId="10" xfId="0" applyNumberFormat="1" applyFont="1" applyFill="1" applyBorder="1" applyAlignment="1">
      <alignment wrapText="1"/>
    </xf>
    <xf numFmtId="3" fontId="23" fillId="7" borderId="10" xfId="0" applyNumberFormat="1" applyFont="1" applyFill="1" applyBorder="1" applyAlignment="1">
      <alignment wrapText="1"/>
    </xf>
    <xf numFmtId="3" fontId="23" fillId="7" borderId="11" xfId="0" applyNumberFormat="1" applyFont="1" applyFill="1" applyBorder="1" applyAlignment="1">
      <alignment wrapText="1"/>
    </xf>
    <xf numFmtId="3" fontId="23" fillId="7" borderId="15" xfId="0" applyNumberFormat="1" applyFont="1" applyFill="1" applyBorder="1" applyAlignment="1">
      <alignment wrapText="1"/>
    </xf>
    <xf numFmtId="3" fontId="23" fillId="0" borderId="11" xfId="0" applyNumberFormat="1" applyFont="1" applyFill="1" applyBorder="1" applyAlignment="1">
      <alignment wrapText="1"/>
    </xf>
    <xf numFmtId="3" fontId="23" fillId="15" borderId="10" xfId="0" applyNumberFormat="1" applyFont="1" applyFill="1" applyBorder="1" applyAlignment="1">
      <alignment vertical="top" wrapText="1"/>
    </xf>
    <xf numFmtId="3" fontId="23" fillId="15" borderId="10" xfId="0" applyNumberFormat="1" applyFont="1" applyFill="1" applyBorder="1" applyAlignment="1">
      <alignment wrapText="1"/>
    </xf>
    <xf numFmtId="3" fontId="23" fillId="15" borderId="11" xfId="0" applyNumberFormat="1" applyFont="1" applyFill="1" applyBorder="1" applyAlignment="1">
      <alignment wrapText="1"/>
    </xf>
    <xf numFmtId="3" fontId="23" fillId="15" borderId="15" xfId="0" applyNumberFormat="1" applyFont="1" applyFill="1" applyBorder="1" applyAlignment="1">
      <alignment wrapText="1"/>
    </xf>
    <xf numFmtId="3" fontId="23" fillId="10" borderId="10" xfId="0" applyNumberFormat="1" applyFont="1" applyFill="1" applyBorder="1" applyAlignment="1">
      <alignment wrapText="1"/>
    </xf>
    <xf numFmtId="3" fontId="23" fillId="0" borderId="15" xfId="0" applyNumberFormat="1"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3" fontId="23" fillId="0" borderId="11" xfId="0" applyNumberFormat="1" applyFont="1" applyFill="1" applyBorder="1" applyAlignment="1">
      <alignment horizontal="center" vertical="center" wrapText="1"/>
    </xf>
    <xf numFmtId="3" fontId="23" fillId="24" borderId="10" xfId="0" applyNumberFormat="1" applyFont="1" applyFill="1" applyBorder="1" applyAlignment="1">
      <alignment horizontal="center" vertical="center" wrapText="1"/>
    </xf>
    <xf numFmtId="3" fontId="23" fillId="0" borderId="15"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3" fontId="23" fillId="0" borderId="11" xfId="0" applyNumberFormat="1" applyFont="1" applyBorder="1" applyAlignment="1">
      <alignment horizontal="center" vertical="center" wrapText="1"/>
    </xf>
    <xf numFmtId="3" fontId="26" fillId="0" borderId="10" xfId="0" applyNumberFormat="1" applyFont="1" applyFill="1" applyBorder="1" applyAlignment="1">
      <alignment horizontal="center" vertical="center" wrapText="1"/>
    </xf>
    <xf numFmtId="3" fontId="23" fillId="25" borderId="10" xfId="0" applyNumberFormat="1" applyFont="1" applyFill="1" applyBorder="1" applyAlignment="1">
      <alignment horizontal="center" vertical="center" wrapText="1"/>
    </xf>
    <xf numFmtId="3" fontId="23" fillId="25" borderId="11" xfId="0" applyNumberFormat="1" applyFont="1" applyFill="1" applyBorder="1" applyAlignment="1">
      <alignment horizontal="center" vertical="center" wrapText="1"/>
    </xf>
    <xf numFmtId="3" fontId="23" fillId="25" borderId="15" xfId="0" applyNumberFormat="1" applyFont="1" applyFill="1" applyBorder="1" applyAlignment="1">
      <alignment horizontal="center" vertical="center" wrapText="1"/>
    </xf>
    <xf numFmtId="3" fontId="23" fillId="14" borderId="10" xfId="0" applyNumberFormat="1" applyFont="1" applyFill="1" applyBorder="1" applyAlignment="1">
      <alignment horizontal="center" vertical="center" wrapText="1"/>
    </xf>
    <xf numFmtId="3" fontId="23" fillId="0" borderId="10" xfId="0" applyNumberFormat="1" applyFont="1" applyBorder="1" applyAlignment="1">
      <alignment vertical="top" wrapText="1"/>
    </xf>
    <xf numFmtId="3" fontId="23" fillId="14" borderId="10" xfId="0" applyNumberFormat="1" applyFont="1" applyFill="1" applyBorder="1" applyAlignment="1">
      <alignment vertical="top" wrapText="1"/>
    </xf>
    <xf numFmtId="3" fontId="23" fillId="14" borderId="15" xfId="0" applyNumberFormat="1" applyFont="1" applyFill="1" applyBorder="1" applyAlignment="1">
      <alignment horizontal="center" vertical="center" wrapText="1"/>
    </xf>
    <xf numFmtId="3" fontId="23" fillId="0" borderId="15" xfId="0" applyNumberFormat="1" applyFont="1" applyBorder="1" applyAlignment="1">
      <alignment vertical="top" wrapText="1"/>
    </xf>
    <xf numFmtId="3" fontId="23" fillId="0" borderId="11" xfId="0" applyNumberFormat="1" applyFont="1" applyBorder="1" applyAlignment="1">
      <alignment vertical="top" wrapText="1"/>
    </xf>
    <xf numFmtId="3" fontId="23" fillId="24" borderId="10" xfId="0" applyNumberFormat="1" applyFont="1" applyFill="1" applyBorder="1" applyAlignment="1">
      <alignment vertical="top" wrapText="1"/>
    </xf>
    <xf numFmtId="3" fontId="23" fillId="0" borderId="16" xfId="0" applyNumberFormat="1" applyFont="1" applyBorder="1" applyAlignment="1">
      <alignment horizontal="center" vertical="center" wrapText="1"/>
    </xf>
    <xf numFmtId="3" fontId="23" fillId="0" borderId="10" xfId="0" applyNumberFormat="1" applyFont="1" applyFill="1" applyBorder="1" applyAlignment="1">
      <alignment vertical="center" wrapText="1"/>
    </xf>
    <xf numFmtId="3" fontId="23" fillId="0" borderId="15" xfId="0" applyNumberFormat="1" applyFont="1" applyBorder="1" applyAlignment="1">
      <alignment wrapText="1"/>
    </xf>
    <xf numFmtId="3" fontId="23" fillId="0" borderId="11" xfId="0" applyNumberFormat="1" applyFont="1" applyBorder="1" applyAlignment="1">
      <alignment wrapText="1"/>
    </xf>
    <xf numFmtId="3" fontId="23" fillId="0" borderId="15" xfId="0" applyNumberFormat="1" applyFont="1" applyFill="1" applyBorder="1" applyAlignment="1">
      <alignment vertical="top" wrapText="1"/>
    </xf>
    <xf numFmtId="3" fontId="23" fillId="0" borderId="10" xfId="0" applyNumberFormat="1" applyFont="1" applyFill="1" applyBorder="1" applyAlignment="1">
      <alignment vertical="top" wrapText="1"/>
    </xf>
    <xf numFmtId="3" fontId="23" fillId="0" borderId="11" xfId="0" applyNumberFormat="1" applyFont="1" applyFill="1" applyBorder="1" applyAlignment="1">
      <alignment vertical="top" wrapText="1"/>
    </xf>
    <xf numFmtId="3" fontId="23" fillId="25" borderId="10" xfId="0" applyNumberFormat="1" applyFont="1" applyFill="1" applyBorder="1" applyAlignment="1">
      <alignment vertical="center" wrapText="1"/>
    </xf>
    <xf numFmtId="3" fontId="23" fillId="25" borderId="16" xfId="0" applyNumberFormat="1" applyFont="1" applyFill="1" applyBorder="1" applyAlignment="1">
      <alignment horizontal="center" vertical="center" wrapText="1"/>
    </xf>
    <xf numFmtId="3" fontId="23" fillId="7" borderId="10" xfId="0" applyNumberFormat="1" applyFont="1" applyFill="1" applyBorder="1" applyAlignment="1">
      <alignment vertical="center" wrapText="1"/>
    </xf>
    <xf numFmtId="3" fontId="23" fillId="0" borderId="16" xfId="0" applyNumberFormat="1" applyFont="1" applyBorder="1" applyAlignment="1">
      <alignment wrapText="1"/>
    </xf>
    <xf numFmtId="3" fontId="23" fillId="0" borderId="10" xfId="0" applyNumberFormat="1" applyFont="1" applyBorder="1" applyAlignment="1">
      <alignment vertical="center" wrapText="1"/>
    </xf>
    <xf numFmtId="3" fontId="23" fillId="0" borderId="10" xfId="0" applyNumberFormat="1" applyFont="1" applyBorder="1" applyAlignment="1">
      <alignment vertical="top"/>
    </xf>
    <xf numFmtId="3" fontId="23" fillId="0" borderId="10" xfId="0" applyNumberFormat="1" applyFont="1" applyFill="1" applyBorder="1" applyAlignment="1">
      <alignment vertical="top"/>
    </xf>
    <xf numFmtId="3" fontId="23" fillId="14" borderId="10" xfId="0" applyNumberFormat="1" applyFont="1" applyFill="1" applyBorder="1" applyAlignment="1">
      <alignment wrapText="1"/>
    </xf>
    <xf numFmtId="3" fontId="23" fillId="0" borderId="15" xfId="0" applyNumberFormat="1" applyFont="1" applyBorder="1" applyAlignment="1">
      <alignment horizontal="justify" vertical="top" wrapText="1"/>
    </xf>
    <xf numFmtId="3" fontId="23" fillId="0" borderId="10" xfId="0" applyNumberFormat="1" applyFont="1" applyBorder="1" applyAlignment="1">
      <alignment horizontal="justify" vertical="top" wrapText="1"/>
    </xf>
    <xf numFmtId="3" fontId="23" fillId="0" borderId="11" xfId="0" applyNumberFormat="1" applyFont="1" applyBorder="1" applyAlignment="1">
      <alignment horizontal="justify" vertical="top" wrapText="1"/>
    </xf>
    <xf numFmtId="3" fontId="23" fillId="24" borderId="10" xfId="0" applyNumberFormat="1" applyFont="1" applyFill="1" applyBorder="1" applyAlignment="1">
      <alignment horizontal="justify" vertical="top" wrapText="1"/>
    </xf>
    <xf numFmtId="3" fontId="23" fillId="7" borderId="10" xfId="0" applyNumberFormat="1" applyFont="1" applyFill="1" applyBorder="1" applyAlignment="1">
      <alignment horizontal="center" vertical="center" wrapText="1"/>
    </xf>
    <xf numFmtId="3" fontId="23" fillId="10" borderId="10" xfId="0" applyNumberFormat="1" applyFont="1" applyFill="1" applyBorder="1" applyAlignment="1">
      <alignment vertical="center" wrapText="1"/>
    </xf>
    <xf numFmtId="3" fontId="23" fillId="10" borderId="10" xfId="0" applyNumberFormat="1" applyFont="1" applyFill="1" applyBorder="1" applyAlignment="1">
      <alignment vertical="top" wrapText="1"/>
    </xf>
    <xf numFmtId="3" fontId="23" fillId="25" borderId="10" xfId="0" applyNumberFormat="1" applyFont="1" applyFill="1" applyBorder="1" applyAlignment="1">
      <alignment vertical="top" wrapText="1"/>
    </xf>
    <xf numFmtId="3" fontId="23" fillId="26" borderId="10" xfId="0" applyNumberFormat="1" applyFont="1" applyFill="1" applyBorder="1" applyAlignment="1">
      <alignment vertical="top" wrapText="1"/>
    </xf>
    <xf numFmtId="3" fontId="23" fillId="25" borderId="10" xfId="0" applyNumberFormat="1" applyFont="1" applyFill="1" applyBorder="1" applyAlignment="1">
      <alignment horizontal="right" vertical="center" wrapText="1"/>
    </xf>
    <xf numFmtId="3" fontId="23" fillId="0" borderId="10" xfId="0" applyNumberFormat="1" applyFont="1" applyBorder="1" applyAlignment="1">
      <alignment horizontal="right" vertical="center" wrapText="1"/>
    </xf>
    <xf numFmtId="3" fontId="23" fillId="0" borderId="17" xfId="0" applyNumberFormat="1" applyFont="1" applyBorder="1" applyAlignment="1">
      <alignment vertical="top" wrapText="1"/>
    </xf>
    <xf numFmtId="3" fontId="23" fillId="0" borderId="18" xfId="0" applyNumberFormat="1" applyFont="1" applyBorder="1" applyAlignment="1">
      <alignment vertical="top" wrapText="1"/>
    </xf>
    <xf numFmtId="3" fontId="23" fillId="10" borderId="17" xfId="0" applyNumberFormat="1" applyFont="1" applyFill="1" applyBorder="1" applyAlignment="1">
      <alignment vertical="top" wrapText="1"/>
    </xf>
    <xf numFmtId="3" fontId="23" fillId="25" borderId="17" xfId="0" applyNumberFormat="1" applyFont="1" applyFill="1" applyBorder="1" applyAlignment="1">
      <alignment vertical="top" wrapText="1"/>
    </xf>
    <xf numFmtId="3" fontId="23" fillId="24" borderId="17" xfId="0" applyNumberFormat="1" applyFont="1" applyFill="1" applyBorder="1" applyAlignment="1">
      <alignment vertical="top" wrapText="1"/>
    </xf>
    <xf numFmtId="3" fontId="23" fillId="10" borderId="10" xfId="0" applyNumberFormat="1" applyFont="1" applyFill="1" applyBorder="1" applyAlignment="1">
      <alignment horizontal="center" vertical="center" wrapText="1"/>
    </xf>
    <xf numFmtId="3" fontId="23" fillId="0" borderId="19" xfId="0" applyNumberFormat="1" applyFont="1" applyFill="1" applyBorder="1" applyAlignment="1">
      <alignment vertical="top" wrapText="1"/>
    </xf>
    <xf numFmtId="0" fontId="23" fillId="0" borderId="10" xfId="0" applyFont="1" applyFill="1" applyBorder="1" applyAlignment="1">
      <alignment vertical="top"/>
    </xf>
    <xf numFmtId="3" fontId="23" fillId="0" borderId="10" xfId="0" applyNumberFormat="1" applyFont="1" applyFill="1" applyBorder="1" applyAlignment="1">
      <alignment vertical="center" wrapText="1"/>
    </xf>
    <xf numFmtId="3" fontId="23" fillId="25" borderId="10" xfId="0" applyNumberFormat="1" applyFont="1" applyFill="1" applyBorder="1" applyAlignment="1">
      <alignment vertical="top"/>
    </xf>
    <xf numFmtId="0" fontId="23" fillId="25" borderId="10" xfId="0" applyFont="1" applyFill="1" applyBorder="1" applyAlignment="1">
      <alignment vertical="top"/>
    </xf>
    <xf numFmtId="0" fontId="23" fillId="10" borderId="10" xfId="0" applyFont="1" applyFill="1" applyBorder="1" applyAlignment="1">
      <alignment wrapText="1"/>
    </xf>
    <xf numFmtId="3" fontId="23" fillId="25" borderId="10" xfId="0" applyNumberFormat="1" applyFont="1" applyFill="1" applyBorder="1" applyAlignment="1">
      <alignment wrapText="1"/>
    </xf>
    <xf numFmtId="3" fontId="21" fillId="10" borderId="10" xfId="0" applyNumberFormat="1" applyFont="1" applyFill="1" applyBorder="1" applyAlignment="1">
      <alignment horizontal="justify" vertical="top"/>
    </xf>
    <xf numFmtId="0" fontId="21" fillId="10" borderId="10" xfId="0" applyFont="1" applyFill="1" applyBorder="1" applyAlignment="1">
      <alignment horizontal="justify" vertical="top"/>
    </xf>
    <xf numFmtId="3" fontId="23" fillId="10" borderId="10" xfId="0" applyNumberFormat="1" applyFont="1" applyFill="1" applyBorder="1" applyAlignment="1">
      <alignment horizontal="left" vertical="top" wrapText="1"/>
    </xf>
    <xf numFmtId="0" fontId="23" fillId="10" borderId="10" xfId="0" applyFont="1" applyFill="1" applyBorder="1" applyAlignment="1">
      <alignment horizontal="left" vertical="top"/>
    </xf>
    <xf numFmtId="3" fontId="23" fillId="0" borderId="17" xfId="0" applyNumberFormat="1" applyFont="1" applyFill="1" applyBorder="1" applyAlignment="1">
      <alignment vertical="top" wrapText="1"/>
    </xf>
    <xf numFmtId="3" fontId="23" fillId="0" borderId="16" xfId="0" applyNumberFormat="1" applyFont="1" applyBorder="1" applyAlignment="1">
      <alignment vertical="top" wrapText="1"/>
    </xf>
    <xf numFmtId="3" fontId="23" fillId="0" borderId="16" xfId="0" applyNumberFormat="1" applyFont="1" applyFill="1" applyBorder="1" applyAlignment="1">
      <alignment wrapText="1"/>
    </xf>
    <xf numFmtId="0" fontId="38" fillId="15" borderId="10" xfId="0" applyFont="1" applyFill="1" applyBorder="1" applyAlignment="1">
      <alignment/>
    </xf>
    <xf numFmtId="0" fontId="23" fillId="0" borderId="10" xfId="0" applyFont="1" applyFill="1" applyBorder="1" applyAlignment="1">
      <alignment horizontal="left" vertical="top" wrapText="1"/>
    </xf>
    <xf numFmtId="3" fontId="23" fillId="10" borderId="10" xfId="0" applyNumberFormat="1" applyFont="1" applyFill="1" applyBorder="1" applyAlignment="1">
      <alignment vertical="top"/>
    </xf>
    <xf numFmtId="0" fontId="23" fillId="0" borderId="10" xfId="0" applyFont="1" applyFill="1" applyBorder="1" applyAlignment="1">
      <alignment vertical="top" wrapText="1"/>
    </xf>
    <xf numFmtId="3" fontId="23" fillId="0" borderId="10" xfId="0" applyNumberFormat="1" applyFont="1" applyBorder="1" applyAlignment="1">
      <alignment horizontal="justify" vertical="center" wrapText="1"/>
    </xf>
    <xf numFmtId="3" fontId="23" fillId="0" borderId="10" xfId="0" applyNumberFormat="1" applyFont="1" applyFill="1" applyBorder="1" applyAlignment="1">
      <alignment horizontal="left" vertical="top" wrapText="1"/>
    </xf>
    <xf numFmtId="3" fontId="23" fillId="24" borderId="10" xfId="0" applyNumberFormat="1" applyFont="1" applyFill="1" applyBorder="1" applyAlignment="1">
      <alignment horizontal="left" vertical="top" wrapText="1"/>
    </xf>
    <xf numFmtId="3" fontId="23" fillId="0" borderId="10" xfId="0" applyNumberFormat="1" applyFont="1" applyFill="1" applyBorder="1" applyAlignment="1">
      <alignment horizontal="left" vertical="center" wrapText="1"/>
    </xf>
    <xf numFmtId="0" fontId="32" fillId="0" borderId="10" xfId="0" applyFont="1" applyFill="1" applyBorder="1" applyAlignment="1">
      <alignment horizontal="left" vertical="top"/>
    </xf>
    <xf numFmtId="2" fontId="32" fillId="0" borderId="0" xfId="0" applyNumberFormat="1" applyFont="1" applyFill="1" applyBorder="1" applyAlignment="1">
      <alignment horizontal="center" wrapText="1"/>
    </xf>
    <xf numFmtId="3" fontId="23" fillId="15" borderId="16" xfId="0" applyNumberFormat="1" applyFont="1" applyFill="1" applyBorder="1" applyAlignment="1">
      <alignment wrapText="1"/>
    </xf>
    <xf numFmtId="3" fontId="23" fillId="0" borderId="16" xfId="0" applyNumberFormat="1" applyFont="1" applyFill="1" applyBorder="1" applyAlignment="1">
      <alignment horizontal="center" vertical="center" wrapText="1"/>
    </xf>
    <xf numFmtId="3" fontId="23" fillId="0" borderId="16" xfId="0" applyNumberFormat="1" applyFont="1" applyFill="1" applyBorder="1" applyAlignment="1">
      <alignment vertical="top" wrapText="1"/>
    </xf>
    <xf numFmtId="3" fontId="23" fillId="0" borderId="16" xfId="0" applyNumberFormat="1" applyFont="1" applyBorder="1" applyAlignment="1">
      <alignment horizontal="justify" vertical="top" wrapText="1"/>
    </xf>
    <xf numFmtId="3" fontId="23" fillId="0" borderId="16" xfId="0" applyNumberFormat="1" applyFont="1" applyFill="1" applyBorder="1" applyAlignment="1">
      <alignment horizontal="left" vertical="top" wrapText="1"/>
    </xf>
    <xf numFmtId="2" fontId="23" fillId="0" borderId="0" xfId="0" applyNumberFormat="1" applyFont="1" applyFill="1" applyBorder="1" applyAlignment="1">
      <alignment horizontal="center" wrapText="1"/>
    </xf>
    <xf numFmtId="2" fontId="24" fillId="0" borderId="0" xfId="0" applyNumberFormat="1" applyFont="1" applyFill="1" applyBorder="1" applyAlignment="1">
      <alignment horizontal="center" vertical="top" wrapText="1"/>
    </xf>
    <xf numFmtId="0" fontId="23" fillId="0" borderId="16" xfId="0" applyFont="1" applyBorder="1" applyAlignment="1">
      <alignment vertical="top"/>
    </xf>
    <xf numFmtId="3" fontId="23" fillId="25" borderId="16" xfId="0" applyNumberFormat="1" applyFont="1" applyFill="1" applyBorder="1" applyAlignment="1">
      <alignment vertical="center" wrapText="1"/>
    </xf>
    <xf numFmtId="3" fontId="23" fillId="25" borderId="16" xfId="0" applyNumberFormat="1" applyFont="1" applyFill="1" applyBorder="1" applyAlignment="1">
      <alignment vertical="top" wrapText="1"/>
    </xf>
    <xf numFmtId="3" fontId="23" fillId="0" borderId="15" xfId="0" applyNumberFormat="1" applyFont="1" applyFill="1" applyBorder="1" applyAlignment="1">
      <alignment horizontal="left" vertical="top" wrapText="1"/>
    </xf>
    <xf numFmtId="3" fontId="23" fillId="0" borderId="11" xfId="0" applyNumberFormat="1" applyFont="1" applyFill="1" applyBorder="1" applyAlignment="1">
      <alignment horizontal="left" vertical="top" wrapText="1"/>
    </xf>
    <xf numFmtId="3" fontId="23" fillId="0" borderId="19" xfId="0" applyNumberFormat="1" applyFont="1" applyFill="1" applyBorder="1" applyAlignment="1">
      <alignment wrapText="1"/>
    </xf>
    <xf numFmtId="3" fontId="23" fillId="15" borderId="19" xfId="0" applyNumberFormat="1" applyFont="1" applyFill="1" applyBorder="1" applyAlignment="1">
      <alignment wrapText="1"/>
    </xf>
    <xf numFmtId="3" fontId="23" fillId="7" borderId="19" xfId="0" applyNumberFormat="1" applyFont="1" applyFill="1" applyBorder="1" applyAlignment="1">
      <alignment wrapText="1"/>
    </xf>
    <xf numFmtId="3" fontId="23" fillId="0" borderId="19" xfId="0" applyNumberFormat="1" applyFont="1" applyFill="1" applyBorder="1" applyAlignment="1">
      <alignment horizontal="center" vertical="center" wrapText="1"/>
    </xf>
    <xf numFmtId="3" fontId="23" fillId="25" borderId="19" xfId="0" applyNumberFormat="1" applyFont="1" applyFill="1" applyBorder="1" applyAlignment="1">
      <alignment horizontal="center" vertical="center" wrapText="1"/>
    </xf>
    <xf numFmtId="3" fontId="23" fillId="0" borderId="19" xfId="0" applyNumberFormat="1" applyFont="1" applyBorder="1" applyAlignment="1">
      <alignment vertical="top" wrapText="1"/>
    </xf>
    <xf numFmtId="3" fontId="23" fillId="0" borderId="19" xfId="0" applyNumberFormat="1" applyFont="1" applyBorder="1" applyAlignment="1">
      <alignment horizontal="center" vertical="center" wrapText="1"/>
    </xf>
    <xf numFmtId="3" fontId="23" fillId="0" borderId="19" xfId="0" applyNumberFormat="1" applyFont="1" applyBorder="1" applyAlignment="1">
      <alignment wrapText="1"/>
    </xf>
    <xf numFmtId="3" fontId="23" fillId="0" borderId="19" xfId="0" applyNumberFormat="1" applyFont="1" applyBorder="1" applyAlignment="1">
      <alignment horizontal="justify" vertical="top" wrapText="1"/>
    </xf>
    <xf numFmtId="3" fontId="23" fillId="0" borderId="19" xfId="0" applyNumberFormat="1" applyFont="1" applyFill="1" applyBorder="1" applyAlignment="1">
      <alignment horizontal="left" vertical="top" wrapText="1"/>
    </xf>
    <xf numFmtId="0" fontId="23" fillId="0" borderId="19" xfId="0" applyFont="1" applyBorder="1" applyAlignment="1">
      <alignment vertical="top"/>
    </xf>
    <xf numFmtId="3" fontId="23" fillId="25" borderId="19" xfId="0" applyNumberFormat="1" applyFont="1" applyFill="1" applyBorder="1" applyAlignment="1">
      <alignment vertical="top" wrapText="1"/>
    </xf>
    <xf numFmtId="4" fontId="28" fillId="0" borderId="16" xfId="0" applyNumberFormat="1" applyFont="1" applyFill="1" applyBorder="1" applyAlignment="1">
      <alignment vertical="center" wrapText="1"/>
    </xf>
    <xf numFmtId="4" fontId="37" fillId="15" borderId="16" xfId="0" applyNumberFormat="1" applyFont="1" applyFill="1" applyBorder="1" applyAlignment="1">
      <alignment vertical="center"/>
    </xf>
    <xf numFmtId="4" fontId="28" fillId="0" borderId="16" xfId="0" applyNumberFormat="1" applyFont="1" applyFill="1" applyBorder="1" applyAlignment="1">
      <alignment vertical="center"/>
    </xf>
    <xf numFmtId="4" fontId="37" fillId="0" borderId="16" xfId="0" applyNumberFormat="1" applyFont="1" applyFill="1" applyBorder="1" applyAlignment="1">
      <alignment vertical="center"/>
    </xf>
    <xf numFmtId="0" fontId="23" fillId="0" borderId="11" xfId="0" applyFont="1" applyFill="1" applyBorder="1" applyAlignment="1">
      <alignment vertical="top"/>
    </xf>
    <xf numFmtId="3" fontId="23" fillId="0" borderId="20" xfId="0" applyNumberFormat="1" applyFont="1" applyBorder="1" applyAlignment="1">
      <alignment vertical="top" wrapText="1"/>
    </xf>
    <xf numFmtId="4" fontId="37" fillId="0" borderId="16" xfId="0" applyNumberFormat="1" applyFont="1" applyFill="1" applyBorder="1" applyAlignment="1">
      <alignment vertical="center" wrapText="1"/>
    </xf>
    <xf numFmtId="0" fontId="24" fillId="0" borderId="0" xfId="0" applyFont="1" applyBorder="1" applyAlignment="1">
      <alignment horizontal="left"/>
    </xf>
    <xf numFmtId="0" fontId="31" fillId="10" borderId="10" xfId="0" applyFont="1" applyFill="1" applyBorder="1" applyAlignment="1">
      <alignment horizontal="center" vertical="center" wrapText="1"/>
    </xf>
    <xf numFmtId="0" fontId="31" fillId="25" borderId="10" xfId="0" applyFont="1" applyFill="1" applyBorder="1" applyAlignment="1">
      <alignment horizontal="center" vertical="center" wrapText="1"/>
    </xf>
    <xf numFmtId="0" fontId="31" fillId="14" borderId="10" xfId="0" applyFont="1" applyFill="1" applyBorder="1" applyAlignment="1">
      <alignment horizontal="center" vertical="center" wrapText="1"/>
    </xf>
    <xf numFmtId="4" fontId="28" fillId="0" borderId="0" xfId="0" applyNumberFormat="1" applyFont="1" applyFill="1" applyBorder="1" applyAlignment="1">
      <alignment vertical="center"/>
    </xf>
    <xf numFmtId="0" fontId="34" fillId="0" borderId="21" xfId="0" applyFont="1" applyFill="1" applyBorder="1" applyAlignment="1">
      <alignment horizontal="left"/>
    </xf>
    <xf numFmtId="0" fontId="32" fillId="0" borderId="21" xfId="0" applyFont="1" applyFill="1" applyBorder="1" applyAlignment="1">
      <alignment vertical="center"/>
    </xf>
    <xf numFmtId="3" fontId="21" fillId="0" borderId="21" xfId="0" applyNumberFormat="1" applyFont="1" applyFill="1" applyBorder="1" applyAlignment="1">
      <alignment wrapText="1"/>
    </xf>
    <xf numFmtId="0" fontId="31" fillId="0" borderId="10" xfId="0" applyFont="1" applyFill="1" applyBorder="1" applyAlignment="1">
      <alignment horizontal="center"/>
    </xf>
    <xf numFmtId="0" fontId="43" fillId="5" borderId="10" xfId="0" applyFont="1" applyFill="1" applyBorder="1" applyAlignment="1">
      <alignment horizontal="left" vertical="center" wrapText="1"/>
    </xf>
    <xf numFmtId="0" fontId="43" fillId="5" borderId="10" xfId="0" applyFont="1" applyFill="1" applyBorder="1" applyAlignment="1">
      <alignment horizontal="center" vertical="center" wrapText="1"/>
    </xf>
    <xf numFmtId="4" fontId="47" fillId="5" borderId="16" xfId="0" applyNumberFormat="1" applyFont="1" applyFill="1" applyBorder="1" applyAlignment="1">
      <alignment horizontal="center" vertical="center" wrapText="1"/>
    </xf>
    <xf numFmtId="3" fontId="44" fillId="5" borderId="10" xfId="0" applyNumberFormat="1" applyFont="1" applyFill="1" applyBorder="1" applyAlignment="1">
      <alignment horizontal="center" vertical="center" wrapText="1"/>
    </xf>
    <xf numFmtId="3" fontId="44" fillId="5" borderId="11" xfId="0" applyNumberFormat="1" applyFont="1" applyFill="1" applyBorder="1" applyAlignment="1">
      <alignment horizontal="center" vertical="center" wrapText="1"/>
    </xf>
    <xf numFmtId="3" fontId="44" fillId="5" borderId="19" xfId="0" applyNumberFormat="1" applyFont="1" applyFill="1" applyBorder="1" applyAlignment="1">
      <alignment horizontal="center" vertical="center" wrapText="1"/>
    </xf>
    <xf numFmtId="2" fontId="31" fillId="0" borderId="0" xfId="0" applyNumberFormat="1" applyFont="1" applyFill="1" applyBorder="1" applyAlignment="1">
      <alignment horizontal="center" wrapText="1"/>
    </xf>
    <xf numFmtId="4" fontId="31" fillId="0" borderId="0" xfId="0" applyNumberFormat="1" applyFont="1" applyFill="1" applyAlignment="1">
      <alignment/>
    </xf>
    <xf numFmtId="0" fontId="28" fillId="0" borderId="0"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41" fillId="0" borderId="0" xfId="0" applyFont="1" applyFill="1" applyAlignment="1">
      <alignment vertical="center"/>
    </xf>
    <xf numFmtId="0" fontId="32" fillId="0" borderId="0" xfId="0" applyFont="1" applyBorder="1" applyAlignment="1">
      <alignment vertical="center"/>
    </xf>
    <xf numFmtId="4" fontId="28" fillId="0" borderId="0" xfId="0" applyNumberFormat="1" applyFont="1" applyFill="1" applyBorder="1" applyAlignment="1">
      <alignment horizontal="right" vertical="center"/>
    </xf>
    <xf numFmtId="0" fontId="32" fillId="0" borderId="0" xfId="0" applyFont="1" applyBorder="1" applyAlignment="1">
      <alignment horizontal="left" vertical="center"/>
    </xf>
    <xf numFmtId="4" fontId="37" fillId="0" borderId="0" xfId="0" applyNumberFormat="1" applyFont="1" applyFill="1" applyBorder="1" applyAlignment="1">
      <alignment vertical="center"/>
    </xf>
    <xf numFmtId="2" fontId="39" fillId="0" borderId="0" xfId="0" applyNumberFormat="1" applyFont="1" applyFill="1" applyBorder="1" applyAlignment="1">
      <alignment/>
    </xf>
    <xf numFmtId="2" fontId="21" fillId="0" borderId="0" xfId="0" applyNumberFormat="1" applyFont="1" applyAlignment="1">
      <alignment/>
    </xf>
    <xf numFmtId="2" fontId="31" fillId="0" borderId="0" xfId="0" applyNumberFormat="1" applyFont="1" applyFill="1" applyBorder="1" applyAlignment="1">
      <alignment/>
    </xf>
    <xf numFmtId="2" fontId="23" fillId="0" borderId="0" xfId="0" applyNumberFormat="1" applyFont="1" applyFill="1" applyBorder="1" applyAlignment="1">
      <alignment/>
    </xf>
    <xf numFmtId="2" fontId="21" fillId="0" borderId="0" xfId="0" applyNumberFormat="1" applyFont="1" applyFill="1" applyBorder="1" applyAlignment="1">
      <alignment/>
    </xf>
    <xf numFmtId="2" fontId="27" fillId="0" borderId="0" xfId="0" applyNumberFormat="1" applyFont="1" applyFill="1" applyBorder="1" applyAlignment="1">
      <alignment horizontal="center" vertical="top"/>
    </xf>
    <xf numFmtId="2" fontId="39" fillId="0" borderId="0" xfId="0" applyNumberFormat="1" applyFont="1" applyFill="1" applyBorder="1" applyAlignment="1">
      <alignment vertical="top"/>
    </xf>
    <xf numFmtId="2" fontId="40" fillId="0" borderId="0" xfId="0" applyNumberFormat="1" applyFont="1" applyFill="1" applyBorder="1" applyAlignment="1">
      <alignment vertical="top"/>
    </xf>
    <xf numFmtId="2" fontId="25" fillId="0" borderId="0" xfId="0" applyNumberFormat="1" applyFont="1" applyFill="1" applyBorder="1" applyAlignment="1">
      <alignment horizontal="center" vertical="top" wrapText="1"/>
    </xf>
    <xf numFmtId="2" fontId="40" fillId="0" borderId="0" xfId="0" applyNumberFormat="1" applyFont="1" applyFill="1" applyBorder="1" applyAlignment="1">
      <alignment/>
    </xf>
    <xf numFmtId="2" fontId="23" fillId="0" borderId="0" xfId="0" applyNumberFormat="1" applyFont="1" applyFill="1" applyBorder="1" applyAlignment="1">
      <alignment horizontal="center" vertical="top" wrapText="1"/>
    </xf>
    <xf numFmtId="2" fontId="39" fillId="0" borderId="0" xfId="0" applyNumberFormat="1" applyFont="1" applyFill="1" applyBorder="1" applyAlignment="1">
      <alignment horizontal="justify" vertical="top"/>
    </xf>
    <xf numFmtId="2" fontId="39" fillId="0" borderId="0" xfId="0" applyNumberFormat="1" applyFont="1" applyFill="1" applyBorder="1" applyAlignment="1">
      <alignment horizontal="left" vertical="top"/>
    </xf>
    <xf numFmtId="2" fontId="23" fillId="0" borderId="0" xfId="0" applyNumberFormat="1" applyFont="1" applyFill="1" applyBorder="1" applyAlignment="1">
      <alignment horizontal="center" vertical="top"/>
    </xf>
    <xf numFmtId="2" fontId="21" fillId="0" borderId="0" xfId="0" applyNumberFormat="1" applyFont="1" applyFill="1" applyAlignment="1">
      <alignment/>
    </xf>
    <xf numFmtId="0" fontId="31" fillId="0" borderId="0" xfId="0" applyFont="1" applyFill="1" applyBorder="1" applyAlignment="1">
      <alignment horizontal="right"/>
    </xf>
    <xf numFmtId="0" fontId="23" fillId="0" borderId="0" xfId="0" applyFont="1" applyFill="1" applyBorder="1" applyAlignment="1">
      <alignment horizontal="right"/>
    </xf>
    <xf numFmtId="0" fontId="21" fillId="0" borderId="0" xfId="0" applyFont="1" applyFill="1" applyBorder="1" applyAlignment="1">
      <alignment horizontal="right"/>
    </xf>
    <xf numFmtId="3" fontId="23" fillId="14" borderId="19" xfId="0" applyNumberFormat="1" applyFont="1" applyFill="1" applyBorder="1" applyAlignment="1">
      <alignment vertical="top" wrapText="1"/>
    </xf>
    <xf numFmtId="3" fontId="23" fillId="14" borderId="19" xfId="0" applyNumberFormat="1" applyFont="1" applyFill="1" applyBorder="1" applyAlignment="1">
      <alignment horizontal="center" vertical="center" wrapText="1"/>
    </xf>
    <xf numFmtId="3" fontId="23" fillId="10" borderId="19" xfId="0" applyNumberFormat="1" applyFont="1" applyFill="1" applyBorder="1" applyAlignment="1">
      <alignment wrapText="1"/>
    </xf>
    <xf numFmtId="3" fontId="23" fillId="10" borderId="19" xfId="0" applyNumberFormat="1" applyFont="1" applyFill="1" applyBorder="1" applyAlignment="1">
      <alignment vertical="top" wrapText="1"/>
    </xf>
    <xf numFmtId="3" fontId="21" fillId="0" borderId="0" xfId="0" applyNumberFormat="1" applyFont="1" applyFill="1" applyBorder="1" applyAlignment="1">
      <alignment wrapText="1"/>
    </xf>
    <xf numFmtId="0" fontId="23" fillId="0" borderId="10" xfId="0" applyFont="1" applyFill="1" applyBorder="1" applyAlignment="1">
      <alignment wrapText="1"/>
    </xf>
    <xf numFmtId="0" fontId="23" fillId="0" borderId="15" xfId="0" applyFont="1" applyBorder="1" applyAlignment="1">
      <alignment vertical="top"/>
    </xf>
    <xf numFmtId="3" fontId="23" fillId="10" borderId="11" xfId="0" applyNumberFormat="1" applyFont="1" applyFill="1" applyBorder="1" applyAlignment="1">
      <alignment vertical="top" wrapText="1"/>
    </xf>
    <xf numFmtId="0" fontId="23" fillId="25" borderId="11" xfId="0" applyFont="1" applyFill="1" applyBorder="1" applyAlignment="1">
      <alignment vertical="top"/>
    </xf>
    <xf numFmtId="0" fontId="23" fillId="0" borderId="15" xfId="0" applyFont="1" applyBorder="1" applyAlignment="1">
      <alignment wrapText="1"/>
    </xf>
    <xf numFmtId="3" fontId="23" fillId="12" borderId="10" xfId="0" applyNumberFormat="1" applyFont="1" applyFill="1" applyBorder="1" applyAlignment="1">
      <alignment horizontal="center" vertical="center" wrapText="1"/>
    </xf>
    <xf numFmtId="0" fontId="33" fillId="15" borderId="10" xfId="0" applyFont="1" applyFill="1" applyBorder="1" applyAlignment="1">
      <alignment vertical="center" wrapText="1"/>
    </xf>
    <xf numFmtId="0" fontId="32" fillId="15" borderId="10" xfId="0" applyFont="1" applyFill="1" applyBorder="1" applyAlignment="1">
      <alignment vertical="center" wrapText="1"/>
    </xf>
    <xf numFmtId="4" fontId="28" fillId="0" borderId="16" xfId="0" applyNumberFormat="1" applyFont="1" applyFill="1" applyBorder="1" applyAlignment="1">
      <alignment vertical="center" wrapText="1"/>
    </xf>
    <xf numFmtId="0" fontId="34" fillId="15" borderId="10" xfId="0" applyFont="1" applyFill="1" applyBorder="1" applyAlignment="1">
      <alignment horizontal="left" vertical="center" wrapText="1"/>
    </xf>
    <xf numFmtId="0" fontId="32" fillId="15" borderId="10" xfId="0" applyFont="1" applyFill="1" applyBorder="1" applyAlignment="1">
      <alignment horizontal="right" vertical="center" wrapText="1"/>
    </xf>
    <xf numFmtId="0" fontId="34" fillId="15" borderId="10" xfId="0" applyFont="1" applyFill="1" applyBorder="1" applyAlignment="1">
      <alignment vertical="center" wrapText="1"/>
    </xf>
    <xf numFmtId="0" fontId="32" fillId="15" borderId="10" xfId="0" applyFont="1" applyFill="1" applyBorder="1" applyAlignment="1">
      <alignment horizontal="left" vertical="center" wrapText="1"/>
    </xf>
    <xf numFmtId="2" fontId="33" fillId="15" borderId="10" xfId="0" applyNumberFormat="1" applyFont="1" applyFill="1" applyBorder="1" applyAlignment="1">
      <alignment horizontal="left" vertical="center" wrapText="1"/>
    </xf>
    <xf numFmtId="2" fontId="32" fillId="15" borderId="10" xfId="0" applyNumberFormat="1" applyFont="1" applyFill="1" applyBorder="1" applyAlignment="1">
      <alignment horizontal="left" vertical="center" wrapText="1"/>
    </xf>
    <xf numFmtId="0" fontId="33" fillId="15" borderId="10" xfId="0" applyFont="1" applyFill="1" applyBorder="1" applyAlignment="1">
      <alignment horizontal="left" vertical="center" wrapText="1"/>
    </xf>
    <xf numFmtId="3" fontId="31" fillId="0" borderId="10" xfId="0" applyNumberFormat="1" applyFont="1" applyFill="1" applyBorder="1" applyAlignment="1">
      <alignment/>
    </xf>
    <xf numFmtId="4" fontId="37" fillId="17" borderId="16" xfId="0" applyNumberFormat="1" applyFont="1" applyFill="1" applyBorder="1" applyAlignment="1">
      <alignment vertical="center"/>
    </xf>
    <xf numFmtId="4" fontId="28" fillId="17" borderId="16" xfId="0" applyNumberFormat="1" applyFont="1" applyFill="1" applyBorder="1" applyAlignment="1">
      <alignment vertical="center"/>
    </xf>
    <xf numFmtId="0" fontId="32" fillId="19" borderId="10" xfId="0" applyFont="1" applyFill="1" applyBorder="1" applyAlignment="1">
      <alignment horizontal="left" vertical="center" wrapText="1"/>
    </xf>
    <xf numFmtId="0" fontId="34" fillId="19" borderId="10" xfId="0" applyFont="1" applyFill="1" applyBorder="1" applyAlignment="1">
      <alignment horizontal="left" vertical="center" wrapText="1"/>
    </xf>
    <xf numFmtId="0" fontId="32" fillId="19" borderId="17" xfId="0" applyFont="1" applyFill="1" applyBorder="1" applyAlignment="1">
      <alignment horizontal="left" vertical="center" wrapText="1"/>
    </xf>
    <xf numFmtId="4" fontId="37" fillId="17" borderId="16" xfId="0" applyNumberFormat="1" applyFont="1" applyFill="1" applyBorder="1" applyAlignment="1">
      <alignment vertical="center" wrapText="1"/>
    </xf>
    <xf numFmtId="3" fontId="23" fillId="10" borderId="12" xfId="0" applyNumberFormat="1" applyFont="1" applyFill="1" applyBorder="1" applyAlignment="1">
      <alignment vertical="top" wrapText="1"/>
    </xf>
    <xf numFmtId="3" fontId="23" fillId="25" borderId="12" xfId="0" applyNumberFormat="1" applyFont="1" applyFill="1" applyBorder="1" applyAlignment="1">
      <alignment vertical="top" wrapText="1"/>
    </xf>
    <xf numFmtId="3" fontId="23" fillId="0" borderId="12" xfId="0" applyNumberFormat="1" applyFont="1" applyFill="1" applyBorder="1" applyAlignment="1">
      <alignment vertical="top" wrapText="1"/>
    </xf>
    <xf numFmtId="3" fontId="23" fillId="0" borderId="10" xfId="0" applyNumberFormat="1" applyFont="1" applyFill="1" applyBorder="1" applyAlignment="1">
      <alignment horizontal="right" vertical="center" wrapText="1"/>
    </xf>
    <xf numFmtId="4" fontId="28" fillId="17" borderId="16" xfId="0" applyNumberFormat="1" applyFont="1" applyFill="1" applyBorder="1" applyAlignment="1">
      <alignment vertical="center" wrapText="1"/>
    </xf>
    <xf numFmtId="0" fontId="23"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4" fontId="28" fillId="0" borderId="0" xfId="0" applyNumberFormat="1" applyFont="1" applyFill="1" applyBorder="1" applyAlignment="1">
      <alignment vertical="center" wrapText="1"/>
    </xf>
    <xf numFmtId="3" fontId="23" fillId="0" borderId="0" xfId="0" applyNumberFormat="1" applyFont="1" applyBorder="1" applyAlignment="1">
      <alignment vertical="top" wrapText="1"/>
    </xf>
    <xf numFmtId="0" fontId="23" fillId="0" borderId="0" xfId="0" applyFont="1" applyBorder="1" applyAlignment="1">
      <alignment vertical="top"/>
    </xf>
    <xf numFmtId="3" fontId="23" fillId="0" borderId="0" xfId="0" applyNumberFormat="1" applyFont="1" applyFill="1" applyBorder="1" applyAlignment="1">
      <alignment vertical="top" wrapText="1"/>
    </xf>
    <xf numFmtId="3" fontId="23" fillId="24" borderId="0" xfId="0" applyNumberFormat="1" applyFont="1" applyFill="1" applyBorder="1" applyAlignment="1">
      <alignment vertical="top" wrapText="1"/>
    </xf>
    <xf numFmtId="4" fontId="28" fillId="17" borderId="22" xfId="0" applyNumberFormat="1" applyFont="1" applyFill="1" applyBorder="1" applyAlignment="1">
      <alignment vertical="center" wrapText="1"/>
    </xf>
    <xf numFmtId="0" fontId="32" fillId="0" borderId="0" xfId="0" applyFont="1" applyFill="1" applyBorder="1" applyAlignment="1">
      <alignment horizontal="left" vertical="center" wrapText="1"/>
    </xf>
    <xf numFmtId="0" fontId="23" fillId="0" borderId="0" xfId="0" applyFont="1" applyFill="1" applyBorder="1" applyAlignment="1">
      <alignment vertical="top"/>
    </xf>
    <xf numFmtId="0" fontId="32" fillId="0" borderId="0" xfId="0" applyFont="1" applyFill="1" applyAlignment="1">
      <alignment vertical="center"/>
    </xf>
    <xf numFmtId="3" fontId="23" fillId="0" borderId="19" xfId="0" applyNumberFormat="1" applyFont="1" applyBorder="1" applyAlignment="1">
      <alignment vertical="center" wrapText="1"/>
    </xf>
    <xf numFmtId="193" fontId="23" fillId="0" borderId="10" xfId="0" applyNumberFormat="1" applyFont="1" applyFill="1" applyBorder="1" applyAlignment="1">
      <alignment vertical="top" wrapText="1"/>
    </xf>
    <xf numFmtId="3" fontId="23" fillId="10" borderId="19" xfId="0" applyNumberFormat="1" applyFont="1" applyFill="1" applyBorder="1" applyAlignment="1">
      <alignment vertical="center" wrapText="1"/>
    </xf>
    <xf numFmtId="0" fontId="22" fillId="0" borderId="11" xfId="0" applyFont="1" applyBorder="1" applyAlignment="1">
      <alignment vertical="top"/>
    </xf>
    <xf numFmtId="3" fontId="23" fillId="25" borderId="11" xfId="0" applyNumberFormat="1" applyFont="1" applyFill="1" applyBorder="1" applyAlignment="1">
      <alignment vertical="top" wrapText="1"/>
    </xf>
    <xf numFmtId="0" fontId="23" fillId="0" borderId="11" xfId="0" applyFont="1" applyBorder="1" applyAlignment="1">
      <alignment vertical="top"/>
    </xf>
    <xf numFmtId="0" fontId="23" fillId="0" borderId="17" xfId="0" applyFont="1" applyBorder="1" applyAlignment="1">
      <alignment vertical="top"/>
    </xf>
    <xf numFmtId="3" fontId="23" fillId="7" borderId="16" xfId="0" applyNumberFormat="1" applyFont="1" applyFill="1" applyBorder="1" applyAlignment="1">
      <alignment wrapText="1"/>
    </xf>
    <xf numFmtId="3" fontId="23" fillId="10" borderId="16" xfId="0" applyNumberFormat="1" applyFont="1" applyFill="1" applyBorder="1" applyAlignment="1">
      <alignment horizontal="center" vertical="center" wrapText="1"/>
    </xf>
    <xf numFmtId="3" fontId="23" fillId="0" borderId="16" xfId="0" applyNumberFormat="1" applyFont="1" applyFill="1" applyBorder="1" applyAlignment="1">
      <alignment vertical="center" wrapText="1"/>
    </xf>
    <xf numFmtId="3" fontId="23" fillId="0" borderId="23" xfId="0" applyNumberFormat="1" applyFont="1" applyFill="1" applyBorder="1" applyAlignment="1">
      <alignment vertical="center" wrapText="1"/>
    </xf>
    <xf numFmtId="0" fontId="23" fillId="0" borderId="16" xfId="0" applyFont="1" applyBorder="1" applyAlignment="1">
      <alignment wrapText="1"/>
    </xf>
    <xf numFmtId="3" fontId="23" fillId="25" borderId="24" xfId="0" applyNumberFormat="1" applyFont="1" applyFill="1" applyBorder="1" applyAlignment="1">
      <alignment vertical="top" wrapText="1"/>
    </xf>
    <xf numFmtId="3" fontId="23" fillId="0" borderId="25" xfId="0" applyNumberFormat="1" applyFont="1" applyFill="1" applyBorder="1" applyAlignment="1">
      <alignment vertical="top" wrapText="1"/>
    </xf>
    <xf numFmtId="3" fontId="23" fillId="0" borderId="19" xfId="0" applyNumberFormat="1" applyFont="1" applyFill="1" applyBorder="1" applyAlignment="1">
      <alignment vertical="center" wrapText="1"/>
    </xf>
    <xf numFmtId="0" fontId="22" fillId="14" borderId="10" xfId="0" applyFont="1" applyFill="1" applyBorder="1" applyAlignment="1">
      <alignment vertical="top"/>
    </xf>
    <xf numFmtId="3" fontId="23" fillId="10" borderId="15" xfId="0" applyNumberFormat="1" applyFont="1" applyFill="1" applyBorder="1" applyAlignment="1">
      <alignment vertical="top" wrapText="1"/>
    </xf>
    <xf numFmtId="0" fontId="23" fillId="0" borderId="26" xfId="0" applyFont="1" applyBorder="1" applyAlignment="1">
      <alignment vertical="top"/>
    </xf>
    <xf numFmtId="9" fontId="23" fillId="0" borderId="0" xfId="0" applyNumberFormat="1" applyFont="1" applyBorder="1" applyAlignment="1">
      <alignment wrapText="1"/>
    </xf>
    <xf numFmtId="0" fontId="32" fillId="0" borderId="27" xfId="0" applyFont="1" applyFill="1" applyBorder="1" applyAlignment="1">
      <alignment horizontal="left" vertical="center" wrapText="1"/>
    </xf>
    <xf numFmtId="0" fontId="23" fillId="0" borderId="10" xfId="0" applyFont="1" applyFill="1" applyBorder="1" applyAlignment="1">
      <alignment horizontal="center"/>
    </xf>
    <xf numFmtId="0" fontId="32" fillId="0" borderId="10" xfId="0" applyFont="1" applyFill="1" applyBorder="1" applyAlignment="1">
      <alignment horizontal="center" vertical="center" wrapText="1"/>
    </xf>
    <xf numFmtId="0" fontId="43" fillId="13" borderId="10" xfId="0" applyFont="1" applyFill="1" applyBorder="1" applyAlignment="1">
      <alignment horizontal="left" vertical="center" wrapText="1"/>
    </xf>
    <xf numFmtId="0" fontId="32" fillId="0" borderId="0" xfId="0" applyFont="1" applyBorder="1" applyAlignment="1">
      <alignment horizontal="left"/>
    </xf>
    <xf numFmtId="0" fontId="25" fillId="0" borderId="10" xfId="0" applyFont="1" applyFill="1" applyBorder="1" applyAlignment="1">
      <alignment horizontal="right" vertical="justify" wrapText="1"/>
    </xf>
    <xf numFmtId="0" fontId="25" fillId="26" borderId="10" xfId="0" applyFont="1" applyFill="1" applyBorder="1" applyAlignment="1">
      <alignment horizontal="right" vertical="top" wrapText="1"/>
    </xf>
    <xf numFmtId="0" fontId="27" fillId="26" borderId="10" xfId="0" applyFont="1" applyFill="1" applyBorder="1" applyAlignment="1">
      <alignment vertical="top"/>
    </xf>
    <xf numFmtId="0" fontId="23" fillId="0" borderId="10" xfId="0" applyFont="1" applyBorder="1" applyAlignment="1">
      <alignment/>
    </xf>
    <xf numFmtId="3" fontId="48" fillId="0" borderId="25" xfId="0" applyNumberFormat="1" applyFont="1" applyBorder="1" applyAlignment="1">
      <alignment/>
    </xf>
    <xf numFmtId="3" fontId="23" fillId="0" borderId="24" xfId="0" applyNumberFormat="1" applyFont="1" applyBorder="1" applyAlignment="1">
      <alignment wrapText="1"/>
    </xf>
    <xf numFmtId="0" fontId="31" fillId="0" borderId="24" xfId="0" applyFont="1" applyBorder="1" applyAlignment="1">
      <alignment/>
    </xf>
    <xf numFmtId="3" fontId="48" fillId="0" borderId="24" xfId="0" applyNumberFormat="1" applyFont="1" applyBorder="1" applyAlignment="1">
      <alignment wrapText="1"/>
    </xf>
    <xf numFmtId="3" fontId="43" fillId="24" borderId="28" xfId="0" applyNumberFormat="1" applyFont="1" applyFill="1" applyBorder="1" applyAlignment="1">
      <alignment/>
    </xf>
    <xf numFmtId="3" fontId="48" fillId="0" borderId="24" xfId="0" applyNumberFormat="1" applyFont="1" applyFill="1" applyBorder="1" applyAlignment="1">
      <alignment/>
    </xf>
    <xf numFmtId="3" fontId="48" fillId="0" borderId="24" xfId="0" applyNumberFormat="1" applyFont="1" applyFill="1" applyBorder="1" applyAlignment="1">
      <alignment wrapText="1"/>
    </xf>
    <xf numFmtId="3" fontId="49" fillId="0" borderId="24" xfId="0" applyNumberFormat="1" applyFont="1" applyFill="1" applyBorder="1" applyAlignment="1">
      <alignment wrapText="1"/>
    </xf>
    <xf numFmtId="3" fontId="38" fillId="0" borderId="24" xfId="0" applyNumberFormat="1" applyFont="1" applyFill="1" applyBorder="1" applyAlignment="1">
      <alignment wrapText="1"/>
    </xf>
    <xf numFmtId="3" fontId="23" fillId="0" borderId="28" xfId="0" applyNumberFormat="1" applyFont="1" applyFill="1" applyBorder="1" applyAlignment="1">
      <alignment wrapText="1"/>
    </xf>
    <xf numFmtId="3" fontId="0" fillId="13" borderId="10" xfId="0" applyNumberFormat="1" applyFill="1" applyBorder="1" applyAlignment="1">
      <alignment/>
    </xf>
    <xf numFmtId="3" fontId="44" fillId="13" borderId="10" xfId="0" applyNumberFormat="1" applyFont="1" applyFill="1" applyBorder="1" applyAlignment="1">
      <alignment horizontal="center" vertical="center" wrapText="1"/>
    </xf>
    <xf numFmtId="3" fontId="44" fillId="13" borderId="11" xfId="0" applyNumberFormat="1" applyFont="1" applyFill="1" applyBorder="1" applyAlignment="1">
      <alignment horizontal="center" vertical="center" wrapText="1"/>
    </xf>
    <xf numFmtId="0" fontId="50" fillId="13" borderId="10" xfId="0" applyFont="1" applyFill="1" applyBorder="1" applyAlignment="1">
      <alignment horizontal="center" vertical="center" wrapText="1"/>
    </xf>
    <xf numFmtId="4" fontId="47" fillId="13" borderId="16" xfId="0" applyNumberFormat="1" applyFont="1" applyFill="1" applyBorder="1" applyAlignment="1">
      <alignment horizontal="center" vertical="center" wrapText="1"/>
    </xf>
    <xf numFmtId="224" fontId="23" fillId="10" borderId="10" xfId="0" applyNumberFormat="1" applyFont="1" applyFill="1" applyBorder="1" applyAlignment="1">
      <alignment horizontal="center" vertical="center" wrapText="1"/>
    </xf>
    <xf numFmtId="0" fontId="34" fillId="15" borderId="10" xfId="0" applyFont="1" applyFill="1" applyBorder="1" applyAlignment="1">
      <alignment horizontal="justify" vertical="center"/>
    </xf>
    <xf numFmtId="0" fontId="32" fillId="15" borderId="10" xfId="0" applyFont="1" applyFill="1" applyBorder="1" applyAlignment="1">
      <alignment horizontal="justify" vertical="center"/>
    </xf>
    <xf numFmtId="0" fontId="33" fillId="15" borderId="10" xfId="0" applyFont="1" applyFill="1" applyBorder="1" applyAlignment="1">
      <alignment horizontal="justify" vertical="center"/>
    </xf>
    <xf numFmtId="0" fontId="31" fillId="0" borderId="0" xfId="0" applyFont="1" applyFill="1" applyAlignment="1">
      <alignment horizontal="left"/>
    </xf>
    <xf numFmtId="0" fontId="27" fillId="26" borderId="27" xfId="0" applyFont="1" applyFill="1" applyBorder="1" applyAlignment="1">
      <alignment vertical="justify" wrapText="1"/>
    </xf>
    <xf numFmtId="3" fontId="31" fillId="0" borderId="27" xfId="0" applyNumberFormat="1" applyFont="1" applyBorder="1" applyAlignment="1">
      <alignment/>
    </xf>
    <xf numFmtId="0" fontId="51" fillId="0" borderId="14" xfId="0" applyFont="1" applyBorder="1" applyAlignment="1">
      <alignment vertical="center"/>
    </xf>
    <xf numFmtId="3" fontId="44" fillId="0" borderId="29" xfId="0" applyNumberFormat="1" applyFont="1" applyBorder="1" applyAlignment="1">
      <alignment/>
    </xf>
    <xf numFmtId="4" fontId="28" fillId="0" borderId="30" xfId="0" applyNumberFormat="1" applyFont="1" applyFill="1" applyBorder="1" applyAlignment="1">
      <alignment vertical="center"/>
    </xf>
    <xf numFmtId="4" fontId="28" fillId="0" borderId="0" xfId="0" applyNumberFormat="1" applyFont="1" applyFill="1" applyAlignment="1">
      <alignment vertical="center"/>
    </xf>
    <xf numFmtId="0" fontId="21" fillId="0" borderId="29" xfId="0" applyFont="1" applyFill="1" applyBorder="1" applyAlignment="1">
      <alignment wrapText="1"/>
    </xf>
    <xf numFmtId="4" fontId="38" fillId="0" borderId="10" xfId="0" applyNumberFormat="1" applyFont="1" applyFill="1" applyBorder="1" applyAlignment="1">
      <alignment vertical="center"/>
    </xf>
    <xf numFmtId="4" fontId="28" fillId="0" borderId="30" xfId="0" applyNumberFormat="1" applyFont="1" applyFill="1" applyBorder="1" applyAlignment="1">
      <alignment vertical="center"/>
    </xf>
    <xf numFmtId="4" fontId="28" fillId="0" borderId="10" xfId="0" applyNumberFormat="1" applyFont="1" applyFill="1" applyBorder="1" applyAlignment="1">
      <alignment horizontal="center" vertical="center" wrapText="1"/>
    </xf>
    <xf numFmtId="4" fontId="54" fillId="5" borderId="23" xfId="0" applyNumberFormat="1" applyFont="1" applyFill="1" applyBorder="1" applyAlignment="1">
      <alignment horizontal="center" vertical="center" wrapText="1"/>
    </xf>
    <xf numFmtId="4" fontId="54" fillId="13" borderId="16" xfId="0" applyNumberFormat="1" applyFont="1" applyFill="1" applyBorder="1" applyAlignment="1">
      <alignment horizontal="center" vertical="center" wrapText="1"/>
    </xf>
    <xf numFmtId="4" fontId="28" fillId="15" borderId="23" xfId="0" applyNumberFormat="1" applyFont="1" applyFill="1" applyBorder="1" applyAlignment="1">
      <alignment vertical="center"/>
    </xf>
    <xf numFmtId="4" fontId="28" fillId="0" borderId="0" xfId="0" applyNumberFormat="1" applyFont="1" applyFill="1" applyBorder="1" applyAlignment="1">
      <alignment vertical="center" wrapText="1"/>
    </xf>
    <xf numFmtId="4" fontId="28" fillId="0" borderId="0" xfId="0" applyNumberFormat="1" applyFont="1" applyFill="1" applyBorder="1" applyAlignment="1">
      <alignment vertical="center"/>
    </xf>
    <xf numFmtId="4" fontId="31" fillId="0" borderId="0" xfId="0" applyNumberFormat="1" applyFont="1" applyBorder="1" applyAlignment="1">
      <alignment vertical="center"/>
    </xf>
    <xf numFmtId="4" fontId="28" fillId="0" borderId="0" xfId="0" applyNumberFormat="1" applyFont="1" applyFill="1" applyBorder="1" applyAlignment="1">
      <alignment horizontal="right" vertical="center"/>
    </xf>
    <xf numFmtId="4" fontId="28" fillId="0" borderId="10" xfId="0" applyNumberFormat="1" applyFont="1" applyFill="1" applyBorder="1" applyAlignment="1">
      <alignment vertical="center" wrapText="1"/>
    </xf>
    <xf numFmtId="4" fontId="28" fillId="15" borderId="10" xfId="0" applyNumberFormat="1" applyFont="1" applyFill="1" applyBorder="1" applyAlignment="1">
      <alignment vertical="center"/>
    </xf>
    <xf numFmtId="10" fontId="28" fillId="0" borderId="0" xfId="98" applyNumberFormat="1" applyFont="1" applyFill="1" applyAlignment="1">
      <alignment vertical="center"/>
    </xf>
    <xf numFmtId="10" fontId="28" fillId="0" borderId="30" xfId="98" applyNumberFormat="1" applyFont="1" applyFill="1" applyBorder="1" applyAlignment="1">
      <alignment vertical="center"/>
    </xf>
    <xf numFmtId="10" fontId="54" fillId="5" borderId="23" xfId="98" applyNumberFormat="1" applyFont="1" applyFill="1" applyBorder="1" applyAlignment="1">
      <alignment horizontal="center" vertical="center" wrapText="1"/>
    </xf>
    <xf numFmtId="10" fontId="54" fillId="13" borderId="16" xfId="98" applyNumberFormat="1" applyFont="1" applyFill="1" applyBorder="1" applyAlignment="1">
      <alignment horizontal="center" vertical="center" wrapText="1"/>
    </xf>
    <xf numFmtId="10" fontId="28" fillId="15" borderId="23" xfId="98" applyNumberFormat="1" applyFont="1" applyFill="1" applyBorder="1" applyAlignment="1">
      <alignment vertical="center"/>
    </xf>
    <xf numFmtId="10" fontId="28" fillId="0" borderId="0" xfId="98" applyNumberFormat="1" applyFont="1" applyFill="1" applyBorder="1" applyAlignment="1">
      <alignment vertical="center" wrapText="1"/>
    </xf>
    <xf numFmtId="10" fontId="28" fillId="0" borderId="0" xfId="98" applyNumberFormat="1" applyFont="1" applyFill="1" applyBorder="1" applyAlignment="1">
      <alignment vertical="center"/>
    </xf>
    <xf numFmtId="10" fontId="31" fillId="0" borderId="0" xfId="98" applyNumberFormat="1" applyFont="1" applyBorder="1" applyAlignment="1">
      <alignment vertical="center"/>
    </xf>
    <xf numFmtId="10" fontId="28" fillId="0" borderId="0" xfId="98" applyNumberFormat="1" applyFont="1" applyFill="1" applyBorder="1" applyAlignment="1">
      <alignment horizontal="right" vertical="center"/>
    </xf>
    <xf numFmtId="0" fontId="31" fillId="0" borderId="0" xfId="0" applyFont="1" applyBorder="1" applyAlignment="1">
      <alignment/>
    </xf>
    <xf numFmtId="3" fontId="23" fillId="0" borderId="0" xfId="0" applyNumberFormat="1" applyFont="1" applyFill="1" applyBorder="1" applyAlignment="1">
      <alignment wrapText="1"/>
    </xf>
    <xf numFmtId="3" fontId="28" fillId="0" borderId="0" xfId="98" applyNumberFormat="1" applyFont="1" applyFill="1" applyAlignment="1">
      <alignment vertical="center"/>
    </xf>
    <xf numFmtId="9" fontId="21" fillId="0" borderId="0" xfId="98" applyFont="1" applyFill="1" applyBorder="1" applyAlignment="1">
      <alignment wrapText="1"/>
    </xf>
    <xf numFmtId="3" fontId="23" fillId="25" borderId="10" xfId="0" applyNumberFormat="1" applyFont="1" applyFill="1" applyBorder="1" applyAlignment="1">
      <alignment horizontal="center" vertical="center"/>
    </xf>
    <xf numFmtId="0" fontId="38" fillId="15" borderId="10" xfId="0" applyFont="1" applyFill="1" applyBorder="1" applyAlignment="1">
      <alignment wrapText="1"/>
    </xf>
    <xf numFmtId="0" fontId="23" fillId="0" borderId="10" xfId="0" applyFont="1" applyFill="1" applyBorder="1" applyAlignment="1">
      <alignment horizontal="justify" vertical="top" wrapText="1"/>
    </xf>
    <xf numFmtId="3" fontId="31" fillId="0" borderId="10" xfId="0" applyNumberFormat="1" applyFont="1" applyBorder="1" applyAlignment="1">
      <alignment/>
    </xf>
    <xf numFmtId="3" fontId="23" fillId="0" borderId="10" xfId="0" applyNumberFormat="1" applyFont="1" applyBorder="1" applyAlignment="1">
      <alignment/>
    </xf>
    <xf numFmtId="9" fontId="21" fillId="0" borderId="10" xfId="0" applyNumberFormat="1" applyFont="1" applyFill="1" applyBorder="1" applyAlignment="1">
      <alignment/>
    </xf>
    <xf numFmtId="4" fontId="21" fillId="0" borderId="10" xfId="0" applyNumberFormat="1" applyFont="1" applyBorder="1" applyAlignment="1">
      <alignment/>
    </xf>
    <xf numFmtId="0" fontId="21" fillId="0" borderId="10" xfId="0" applyFont="1" applyBorder="1" applyAlignment="1">
      <alignment/>
    </xf>
    <xf numFmtId="0" fontId="31" fillId="0" borderId="10" xfId="0" applyFont="1" applyFill="1" applyBorder="1" applyAlignment="1">
      <alignment/>
    </xf>
    <xf numFmtId="3" fontId="44" fillId="0" borderId="10" xfId="0" applyNumberFormat="1" applyFont="1" applyBorder="1" applyAlignment="1">
      <alignment/>
    </xf>
    <xf numFmtId="3" fontId="55" fillId="0" borderId="10" xfId="0" applyNumberFormat="1" applyFont="1" applyBorder="1" applyAlignment="1">
      <alignment/>
    </xf>
    <xf numFmtId="10" fontId="28" fillId="0" borderId="16" xfId="98" applyNumberFormat="1" applyFont="1" applyFill="1" applyBorder="1" applyAlignment="1">
      <alignment horizontal="center" vertical="center" wrapText="1"/>
    </xf>
    <xf numFmtId="10" fontId="28" fillId="0" borderId="16" xfId="98" applyNumberFormat="1" applyFont="1" applyFill="1" applyBorder="1" applyAlignment="1">
      <alignment vertical="center" wrapText="1"/>
    </xf>
    <xf numFmtId="10" fontId="28" fillId="15" borderId="16" xfId="98" applyNumberFormat="1" applyFont="1" applyFill="1" applyBorder="1" applyAlignment="1">
      <alignment vertical="center"/>
    </xf>
    <xf numFmtId="10" fontId="28" fillId="0" borderId="16" xfId="98" applyNumberFormat="1" applyFont="1" applyFill="1" applyBorder="1" applyAlignment="1">
      <alignment vertical="center"/>
    </xf>
    <xf numFmtId="10" fontId="28" fillId="17" borderId="16" xfId="98" applyNumberFormat="1" applyFont="1" applyFill="1" applyBorder="1" applyAlignment="1">
      <alignment vertical="center" wrapText="1"/>
    </xf>
    <xf numFmtId="3" fontId="23" fillId="15" borderId="23" xfId="0" applyNumberFormat="1" applyFont="1" applyFill="1" applyBorder="1" applyAlignment="1">
      <alignment vertical="top" wrapText="1"/>
    </xf>
    <xf numFmtId="10" fontId="28" fillId="17" borderId="16" xfId="98" applyNumberFormat="1" applyFont="1" applyFill="1" applyBorder="1" applyAlignment="1">
      <alignment vertical="center"/>
    </xf>
    <xf numFmtId="10" fontId="28" fillId="17" borderId="22" xfId="98" applyNumberFormat="1" applyFont="1" applyFill="1" applyBorder="1" applyAlignment="1">
      <alignment vertical="center" wrapText="1"/>
    </xf>
    <xf numFmtId="3" fontId="0" fillId="13" borderId="19" xfId="0" applyNumberFormat="1" applyFill="1" applyBorder="1" applyAlignment="1">
      <alignment/>
    </xf>
    <xf numFmtId="3" fontId="44" fillId="5" borderId="15" xfId="0" applyNumberFormat="1" applyFont="1" applyFill="1" applyBorder="1" applyAlignment="1">
      <alignment horizontal="center" vertical="center" wrapText="1"/>
    </xf>
    <xf numFmtId="3" fontId="0" fillId="13" borderId="15" xfId="0" applyNumberFormat="1" applyFill="1" applyBorder="1" applyAlignment="1">
      <alignment/>
    </xf>
    <xf numFmtId="3" fontId="0" fillId="13" borderId="11" xfId="0" applyNumberFormat="1" applyFill="1" applyBorder="1" applyAlignment="1">
      <alignment/>
    </xf>
    <xf numFmtId="3" fontId="23" fillId="15" borderId="15" xfId="0" applyNumberFormat="1" applyFont="1" applyFill="1" applyBorder="1" applyAlignment="1">
      <alignment vertical="top" wrapText="1"/>
    </xf>
    <xf numFmtId="0" fontId="23" fillId="0" borderId="15" xfId="0" applyFont="1" applyFill="1" applyBorder="1" applyAlignment="1">
      <alignment wrapText="1"/>
    </xf>
    <xf numFmtId="0" fontId="29" fillId="0" borderId="15" xfId="0" applyFont="1" applyFill="1" applyBorder="1" applyAlignment="1">
      <alignment/>
    </xf>
    <xf numFmtId="0" fontId="22" fillId="0" borderId="15" xfId="0" applyFont="1" applyBorder="1" applyAlignment="1">
      <alignment vertical="top"/>
    </xf>
    <xf numFmtId="0" fontId="21" fillId="0" borderId="15" xfId="0" applyFont="1" applyBorder="1" applyAlignment="1">
      <alignment horizontal="justify" vertical="top"/>
    </xf>
    <xf numFmtId="0" fontId="23" fillId="0" borderId="15" xfId="0" applyFont="1" applyFill="1" applyBorder="1" applyAlignment="1">
      <alignment horizontal="left" vertical="top"/>
    </xf>
    <xf numFmtId="0" fontId="23" fillId="0" borderId="15" xfId="0" applyFont="1" applyFill="1" applyBorder="1" applyAlignment="1">
      <alignment vertical="top"/>
    </xf>
    <xf numFmtId="3" fontId="23" fillId="0" borderId="26" xfId="0" applyNumberFormat="1" applyFont="1" applyBorder="1" applyAlignment="1">
      <alignment vertical="top" wrapText="1"/>
    </xf>
    <xf numFmtId="3" fontId="44" fillId="5" borderId="16" xfId="0" applyNumberFormat="1" applyFont="1" applyFill="1" applyBorder="1" applyAlignment="1">
      <alignment horizontal="center" vertical="center" wrapText="1"/>
    </xf>
    <xf numFmtId="3" fontId="0" fillId="13" borderId="16" xfId="0" applyNumberFormat="1" applyFill="1" applyBorder="1" applyAlignment="1">
      <alignment/>
    </xf>
    <xf numFmtId="3" fontId="21" fillId="0" borderId="27" xfId="0" applyNumberFormat="1" applyFont="1" applyFill="1" applyBorder="1" applyAlignment="1">
      <alignment wrapText="1"/>
    </xf>
    <xf numFmtId="3" fontId="21" fillId="0" borderId="31" xfId="0" applyNumberFormat="1" applyFont="1" applyFill="1" applyBorder="1" applyAlignment="1">
      <alignment wrapText="1"/>
    </xf>
    <xf numFmtId="4" fontId="28" fillId="0" borderId="21" xfId="0" applyNumberFormat="1" applyFont="1" applyFill="1" applyBorder="1" applyAlignment="1">
      <alignment horizontal="center" vertical="center"/>
    </xf>
    <xf numFmtId="3" fontId="31" fillId="0" borderId="27" xfId="0" applyNumberFormat="1" applyFont="1" applyFill="1" applyBorder="1" applyAlignment="1">
      <alignment wrapText="1"/>
    </xf>
    <xf numFmtId="0" fontId="31" fillId="0" borderId="27" xfId="0" applyFont="1" applyFill="1" applyBorder="1" applyAlignment="1">
      <alignment wrapText="1"/>
    </xf>
    <xf numFmtId="0" fontId="31" fillId="0" borderId="28" xfId="0" applyFont="1" applyFill="1" applyBorder="1" applyAlignment="1">
      <alignment wrapText="1"/>
    </xf>
    <xf numFmtId="3" fontId="31" fillId="0" borderId="10" xfId="0" applyNumberFormat="1" applyFont="1" applyFill="1" applyBorder="1" applyAlignment="1">
      <alignment wrapText="1"/>
    </xf>
    <xf numFmtId="0" fontId="31" fillId="0" borderId="10" xfId="0" applyFont="1" applyFill="1" applyBorder="1" applyAlignment="1">
      <alignment wrapText="1"/>
    </xf>
    <xf numFmtId="3" fontId="56" fillId="13" borderId="10" xfId="0" applyNumberFormat="1" applyFont="1" applyFill="1" applyBorder="1" applyAlignment="1">
      <alignment/>
    </xf>
    <xf numFmtId="0" fontId="31" fillId="0" borderId="10" xfId="0" applyFont="1" applyBorder="1" applyAlignment="1">
      <alignment/>
    </xf>
    <xf numFmtId="3" fontId="50" fillId="0" borderId="10" xfId="0" applyNumberFormat="1" applyFont="1" applyFill="1" applyBorder="1" applyAlignment="1">
      <alignment/>
    </xf>
    <xf numFmtId="4" fontId="54" fillId="0" borderId="16" xfId="0" applyNumberFormat="1" applyFont="1" applyFill="1" applyBorder="1" applyAlignment="1">
      <alignment horizontal="center" vertical="center" wrapText="1"/>
    </xf>
    <xf numFmtId="10" fontId="31" fillId="0" borderId="0" xfId="98" applyNumberFormat="1" applyFont="1" applyAlignment="1">
      <alignment/>
    </xf>
    <xf numFmtId="3" fontId="23" fillId="15" borderId="32" xfId="0" applyNumberFormat="1" applyFont="1" applyFill="1" applyBorder="1" applyAlignment="1">
      <alignment wrapText="1"/>
    </xf>
    <xf numFmtId="0" fontId="23" fillId="0" borderId="33" xfId="0" applyFont="1" applyBorder="1" applyAlignment="1">
      <alignment wrapText="1"/>
    </xf>
    <xf numFmtId="0" fontId="23" fillId="4" borderId="15" xfId="0" applyFont="1" applyFill="1" applyBorder="1" applyAlignment="1">
      <alignment horizontal="center" vertical="center" wrapText="1"/>
    </xf>
    <xf numFmtId="0" fontId="23" fillId="4" borderId="10" xfId="0" applyFont="1" applyFill="1" applyBorder="1" applyAlignment="1">
      <alignment horizontal="center" vertical="center" wrapText="1"/>
    </xf>
    <xf numFmtId="3" fontId="23" fillId="4" borderId="15" xfId="0" applyNumberFormat="1" applyFont="1" applyFill="1" applyBorder="1" applyAlignment="1">
      <alignment horizontal="center" vertical="center" wrapText="1"/>
    </xf>
    <xf numFmtId="3" fontId="23" fillId="4" borderId="10" xfId="0" applyNumberFormat="1" applyFont="1" applyFill="1" applyBorder="1" applyAlignment="1">
      <alignment horizontal="center" vertical="center" wrapText="1"/>
    </xf>
    <xf numFmtId="3" fontId="23" fillId="4" borderId="33"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19" xfId="0" applyFont="1" applyFill="1" applyBorder="1" applyAlignment="1">
      <alignment horizontal="center" vertical="center" wrapText="1"/>
    </xf>
    <xf numFmtId="3" fontId="23" fillId="4" borderId="11" xfId="0" applyNumberFormat="1" applyFont="1" applyFill="1" applyBorder="1" applyAlignment="1">
      <alignment horizontal="center" vertical="center" wrapText="1"/>
    </xf>
    <xf numFmtId="3" fontId="23" fillId="4" borderId="19" xfId="0" applyNumberFormat="1" applyFont="1" applyFill="1" applyBorder="1" applyAlignment="1">
      <alignment horizontal="center" vertical="center" wrapText="1"/>
    </xf>
    <xf numFmtId="0" fontId="23" fillId="4" borderId="16" xfId="0" applyFont="1" applyFill="1" applyBorder="1" applyAlignment="1">
      <alignment horizontal="center" vertical="center" wrapText="1"/>
    </xf>
    <xf numFmtId="3" fontId="23" fillId="4" borderId="16" xfId="0" applyNumberFormat="1" applyFont="1" applyFill="1" applyBorder="1" applyAlignment="1">
      <alignment horizontal="center" vertical="center" wrapText="1"/>
    </xf>
    <xf numFmtId="3" fontId="23" fillId="10" borderId="16" xfId="0" applyNumberFormat="1" applyFont="1" applyFill="1" applyBorder="1" applyAlignment="1">
      <alignment wrapText="1"/>
    </xf>
    <xf numFmtId="0" fontId="23" fillId="7" borderId="10" xfId="0" applyFont="1" applyFill="1" applyBorder="1" applyAlignment="1">
      <alignment wrapText="1"/>
    </xf>
    <xf numFmtId="10" fontId="21" fillId="0" borderId="0" xfId="98" applyNumberFormat="1" applyFont="1" applyFill="1" applyBorder="1" applyAlignment="1">
      <alignment wrapText="1"/>
    </xf>
    <xf numFmtId="3" fontId="26" fillId="7" borderId="10" xfId="0" applyNumberFormat="1" applyFont="1" applyFill="1" applyBorder="1" applyAlignment="1">
      <alignment wrapText="1"/>
    </xf>
    <xf numFmtId="3" fontId="23" fillId="10" borderId="16" xfId="0" applyNumberFormat="1" applyFont="1" applyFill="1" applyBorder="1" applyAlignment="1">
      <alignment vertical="top" wrapText="1"/>
    </xf>
    <xf numFmtId="3" fontId="30" fillId="25" borderId="10" xfId="0" applyNumberFormat="1" applyFont="1" applyFill="1" applyBorder="1" applyAlignment="1">
      <alignment horizontal="center" vertical="center" wrapText="1"/>
    </xf>
    <xf numFmtId="10" fontId="23" fillId="0" borderId="0" xfId="98" applyNumberFormat="1" applyFont="1" applyAlignment="1">
      <alignment/>
    </xf>
    <xf numFmtId="3" fontId="55" fillId="24" borderId="10" xfId="0" applyNumberFormat="1" applyFont="1" applyFill="1" applyBorder="1" applyAlignment="1">
      <alignment horizontal="center" vertical="center" wrapText="1"/>
    </xf>
    <xf numFmtId="3" fontId="30" fillId="7" borderId="10" xfId="0" applyNumberFormat="1" applyFont="1" applyFill="1" applyBorder="1" applyAlignment="1">
      <alignment wrapText="1"/>
    </xf>
    <xf numFmtId="3" fontId="44" fillId="20" borderId="29" xfId="0" applyNumberFormat="1" applyFont="1" applyFill="1" applyBorder="1" applyAlignment="1">
      <alignment/>
    </xf>
    <xf numFmtId="3" fontId="31" fillId="20" borderId="27" xfId="0" applyNumberFormat="1" applyFont="1" applyFill="1" applyBorder="1" applyAlignment="1">
      <alignment/>
    </xf>
    <xf numFmtId="3" fontId="31" fillId="20" borderId="10" xfId="0" applyNumberFormat="1" applyFont="1" applyFill="1" applyBorder="1" applyAlignment="1">
      <alignment/>
    </xf>
    <xf numFmtId="3" fontId="50" fillId="20" borderId="10" xfId="0" applyNumberFormat="1" applyFont="1" applyFill="1" applyBorder="1" applyAlignment="1">
      <alignment/>
    </xf>
    <xf numFmtId="3" fontId="23" fillId="20" borderId="10" xfId="0" applyNumberFormat="1" applyFont="1" applyFill="1" applyBorder="1" applyAlignment="1">
      <alignment wrapText="1"/>
    </xf>
    <xf numFmtId="0" fontId="31" fillId="20" borderId="0" xfId="0" applyFont="1" applyFill="1" applyAlignment="1">
      <alignment/>
    </xf>
    <xf numFmtId="3" fontId="31" fillId="20" borderId="10" xfId="0" applyNumberFormat="1" applyFont="1" applyFill="1" applyBorder="1" applyAlignment="1">
      <alignment wrapText="1"/>
    </xf>
    <xf numFmtId="0" fontId="52" fillId="13" borderId="10" xfId="0" applyFont="1" applyFill="1" applyBorder="1" applyAlignment="1">
      <alignment/>
    </xf>
    <xf numFmtId="3" fontId="31" fillId="13" borderId="27" xfId="0" applyNumberFormat="1" applyFont="1" applyFill="1" applyBorder="1" applyAlignment="1">
      <alignment wrapText="1"/>
    </xf>
    <xf numFmtId="0" fontId="31" fillId="13" borderId="10" xfId="0" applyFont="1" applyFill="1" applyBorder="1" applyAlignment="1">
      <alignment wrapText="1"/>
    </xf>
    <xf numFmtId="10" fontId="21" fillId="0" borderId="34" xfId="98" applyNumberFormat="1" applyFont="1" applyFill="1" applyBorder="1" applyAlignment="1">
      <alignment wrapText="1"/>
    </xf>
    <xf numFmtId="10" fontId="31" fillId="0" borderId="35" xfId="98" applyNumberFormat="1" applyFont="1" applyFill="1" applyBorder="1" applyAlignment="1">
      <alignment wrapText="1"/>
    </xf>
    <xf numFmtId="10" fontId="31" fillId="0" borderId="24" xfId="98" applyNumberFormat="1" applyFont="1" applyFill="1" applyBorder="1" applyAlignment="1">
      <alignment wrapText="1"/>
    </xf>
    <xf numFmtId="10" fontId="31" fillId="0" borderId="16" xfId="98" applyNumberFormat="1" applyFont="1" applyFill="1" applyBorder="1" applyAlignment="1">
      <alignment wrapText="1"/>
    </xf>
    <xf numFmtId="10" fontId="31" fillId="13" borderId="16" xfId="98" applyNumberFormat="1" applyFont="1" applyFill="1" applyBorder="1" applyAlignment="1">
      <alignment wrapText="1"/>
    </xf>
    <xf numFmtId="10" fontId="31" fillId="0" borderId="16" xfId="98" applyNumberFormat="1" applyFont="1" applyBorder="1" applyAlignment="1">
      <alignment/>
    </xf>
    <xf numFmtId="2" fontId="38" fillId="0" borderId="16" xfId="98" applyNumberFormat="1" applyFont="1" applyFill="1" applyBorder="1" applyAlignment="1">
      <alignment vertical="center"/>
    </xf>
    <xf numFmtId="10" fontId="38" fillId="0" borderId="16" xfId="98" applyNumberFormat="1" applyFont="1" applyFill="1" applyBorder="1" applyAlignment="1">
      <alignment vertical="center"/>
    </xf>
    <xf numFmtId="3" fontId="21" fillId="24" borderId="36" xfId="0" applyNumberFormat="1" applyFont="1" applyFill="1" applyBorder="1" applyAlignment="1">
      <alignment/>
    </xf>
    <xf numFmtId="3" fontId="21" fillId="24" borderId="21" xfId="0" applyNumberFormat="1" applyFont="1" applyFill="1" applyBorder="1" applyAlignment="1">
      <alignment wrapText="1"/>
    </xf>
    <xf numFmtId="9" fontId="21" fillId="24" borderId="37" xfId="98" applyFont="1" applyFill="1" applyBorder="1" applyAlignment="1">
      <alignment wrapText="1"/>
    </xf>
    <xf numFmtId="3" fontId="44" fillId="20" borderId="14" xfId="0" applyNumberFormat="1" applyFont="1" applyFill="1" applyBorder="1" applyAlignment="1">
      <alignment/>
    </xf>
    <xf numFmtId="3" fontId="44" fillId="20" borderId="13" xfId="0" applyNumberFormat="1" applyFont="1" applyFill="1" applyBorder="1" applyAlignment="1">
      <alignment/>
    </xf>
    <xf numFmtId="3" fontId="31" fillId="20" borderId="38" xfId="0" applyNumberFormat="1" applyFont="1" applyFill="1" applyBorder="1" applyAlignment="1">
      <alignment/>
    </xf>
    <xf numFmtId="3" fontId="31" fillId="20" borderId="39" xfId="0" applyNumberFormat="1" applyFont="1" applyFill="1" applyBorder="1" applyAlignment="1">
      <alignment/>
    </xf>
    <xf numFmtId="3" fontId="50" fillId="20" borderId="40" xfId="0" applyNumberFormat="1" applyFont="1" applyFill="1" applyBorder="1" applyAlignment="1">
      <alignment/>
    </xf>
    <xf numFmtId="3" fontId="31" fillId="20" borderId="11" xfId="0" applyNumberFormat="1" applyFont="1" applyFill="1" applyBorder="1" applyAlignment="1">
      <alignment/>
    </xf>
    <xf numFmtId="3" fontId="31" fillId="20" borderId="15" xfId="0" applyNumberFormat="1" applyFont="1" applyFill="1" applyBorder="1" applyAlignment="1">
      <alignment/>
    </xf>
    <xf numFmtId="3" fontId="56" fillId="13" borderId="15" xfId="0" applyNumberFormat="1" applyFont="1" applyFill="1" applyBorder="1" applyAlignment="1">
      <alignment/>
    </xf>
    <xf numFmtId="3" fontId="56" fillId="13" borderId="11" xfId="0" applyNumberFormat="1" applyFont="1" applyFill="1" applyBorder="1" applyAlignment="1">
      <alignment/>
    </xf>
    <xf numFmtId="3" fontId="50" fillId="20" borderId="15" xfId="0" applyNumberFormat="1" applyFont="1" applyFill="1" applyBorder="1" applyAlignment="1">
      <alignment/>
    </xf>
    <xf numFmtId="3" fontId="50" fillId="20" borderId="11" xfId="0" applyNumberFormat="1" applyFont="1" applyFill="1" applyBorder="1" applyAlignment="1">
      <alignment/>
    </xf>
    <xf numFmtId="3" fontId="23" fillId="20" borderId="15" xfId="0" applyNumberFormat="1" applyFont="1" applyFill="1" applyBorder="1" applyAlignment="1">
      <alignment wrapText="1"/>
    </xf>
    <xf numFmtId="3" fontId="23" fillId="20" borderId="11" xfId="0" applyNumberFormat="1" applyFont="1" applyFill="1" applyBorder="1" applyAlignment="1">
      <alignment wrapText="1"/>
    </xf>
    <xf numFmtId="3" fontId="23" fillId="20" borderId="26" xfId="0" applyNumberFormat="1" applyFont="1" applyFill="1" applyBorder="1" applyAlignment="1">
      <alignment wrapText="1"/>
    </xf>
    <xf numFmtId="3" fontId="23" fillId="20" borderId="17" xfId="0" applyNumberFormat="1" applyFont="1" applyFill="1" applyBorder="1" applyAlignment="1">
      <alignment wrapText="1"/>
    </xf>
    <xf numFmtId="3" fontId="23" fillId="0" borderId="17" xfId="0" applyNumberFormat="1" applyFont="1" applyFill="1" applyBorder="1" applyAlignment="1">
      <alignment wrapText="1"/>
    </xf>
    <xf numFmtId="3" fontId="23" fillId="20" borderId="18" xfId="0" applyNumberFormat="1" applyFont="1" applyFill="1" applyBorder="1" applyAlignment="1">
      <alignment wrapText="1"/>
    </xf>
    <xf numFmtId="0" fontId="31" fillId="20" borderId="41" xfId="0" applyFont="1" applyFill="1" applyBorder="1" applyAlignment="1">
      <alignment/>
    </xf>
    <xf numFmtId="3" fontId="31" fillId="20" borderId="11" xfId="0" applyNumberFormat="1" applyFont="1" applyFill="1" applyBorder="1" applyAlignment="1">
      <alignment wrapText="1"/>
    </xf>
    <xf numFmtId="3" fontId="44" fillId="0" borderId="13" xfId="0" applyNumberFormat="1" applyFont="1" applyBorder="1" applyAlignment="1">
      <alignment/>
    </xf>
    <xf numFmtId="3" fontId="31" fillId="0" borderId="39" xfId="0" applyNumberFormat="1" applyFont="1" applyBorder="1" applyAlignment="1">
      <alignment/>
    </xf>
    <xf numFmtId="3" fontId="31" fillId="20" borderId="15" xfId="0" applyNumberFormat="1" applyFont="1" applyFill="1" applyBorder="1" applyAlignment="1">
      <alignment wrapText="1"/>
    </xf>
    <xf numFmtId="3" fontId="31" fillId="0" borderId="11" xfId="0" applyNumberFormat="1" applyFont="1" applyFill="1" applyBorder="1" applyAlignment="1">
      <alignment wrapText="1"/>
    </xf>
    <xf numFmtId="3" fontId="50" fillId="0" borderId="11" xfId="0" applyNumberFormat="1" applyFont="1" applyFill="1" applyBorder="1" applyAlignment="1">
      <alignment/>
    </xf>
    <xf numFmtId="3" fontId="23" fillId="0" borderId="18" xfId="0" applyNumberFormat="1" applyFont="1" applyFill="1" applyBorder="1" applyAlignment="1">
      <alignment wrapText="1"/>
    </xf>
    <xf numFmtId="2" fontId="23" fillId="0" borderId="41" xfId="0" applyNumberFormat="1" applyFont="1" applyFill="1" applyBorder="1" applyAlignment="1">
      <alignment wrapText="1"/>
    </xf>
    <xf numFmtId="0" fontId="23" fillId="0" borderId="0" xfId="0" applyFont="1" applyFill="1" applyAlignment="1">
      <alignment/>
    </xf>
    <xf numFmtId="0" fontId="23" fillId="0" borderId="0" xfId="0" applyFont="1" applyFill="1" applyAlignment="1">
      <alignment horizontal="center"/>
    </xf>
    <xf numFmtId="0" fontId="55" fillId="0" borderId="0" xfId="0" applyFont="1" applyFill="1" applyAlignment="1">
      <alignment/>
    </xf>
    <xf numFmtId="4" fontId="23" fillId="0" borderId="0" xfId="0" applyNumberFormat="1" applyFont="1" applyFill="1" applyAlignment="1">
      <alignment/>
    </xf>
    <xf numFmtId="0" fontId="38" fillId="0" borderId="0" xfId="0" applyFont="1" applyFill="1" applyAlignment="1">
      <alignment/>
    </xf>
    <xf numFmtId="0" fontId="38" fillId="0" borderId="0" xfId="0" applyFont="1" applyFill="1" applyAlignment="1">
      <alignment horizontal="center"/>
    </xf>
    <xf numFmtId="0" fontId="57" fillId="0" borderId="0" xfId="0" applyFont="1" applyFill="1" applyAlignment="1">
      <alignment/>
    </xf>
    <xf numFmtId="0" fontId="58" fillId="0" borderId="0" xfId="0" applyFont="1" applyFill="1" applyAlignment="1">
      <alignment/>
    </xf>
    <xf numFmtId="0" fontId="51" fillId="0" borderId="0" xfId="0" applyFont="1" applyFill="1" applyAlignment="1">
      <alignment horizontal="center"/>
    </xf>
    <xf numFmtId="0" fontId="59" fillId="27" borderId="0" xfId="0" applyFont="1" applyFill="1" applyBorder="1" applyAlignment="1">
      <alignment horizontal="center" vertical="center"/>
    </xf>
    <xf numFmtId="0" fontId="44" fillId="28" borderId="0" xfId="0" applyFont="1" applyFill="1" applyBorder="1" applyAlignment="1">
      <alignment horizontal="center" vertical="center" wrapText="1"/>
    </xf>
    <xf numFmtId="0" fontId="44" fillId="29" borderId="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3" fontId="64" fillId="0" borderId="10" xfId="0" applyNumberFormat="1" applyFont="1" applyFill="1" applyBorder="1" applyAlignment="1">
      <alignment horizontal="center" vertical="center" wrapText="1"/>
    </xf>
    <xf numFmtId="2" fontId="64" fillId="0" borderId="10" xfId="0" applyNumberFormat="1" applyFont="1" applyFill="1" applyBorder="1" applyAlignment="1">
      <alignment horizontal="center" vertical="center" wrapText="1"/>
    </xf>
    <xf numFmtId="4" fontId="64" fillId="0" borderId="10" xfId="0" applyNumberFormat="1" applyFont="1" applyFill="1" applyBorder="1" applyAlignment="1">
      <alignment horizontal="center" vertical="center" wrapText="1"/>
    </xf>
    <xf numFmtId="4" fontId="65" fillId="0" borderId="10" xfId="0" applyNumberFormat="1" applyFont="1" applyFill="1" applyBorder="1" applyAlignment="1">
      <alignment horizontal="center" vertical="center" wrapText="1"/>
    </xf>
    <xf numFmtId="3" fontId="63"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top"/>
    </xf>
    <xf numFmtId="3" fontId="66" fillId="0" borderId="10" xfId="92" applyNumberFormat="1" applyFont="1" applyFill="1" applyBorder="1" applyAlignment="1">
      <alignment horizontal="center" vertical="center" wrapText="1"/>
      <protection/>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4" fillId="0" borderId="10" xfId="92" applyFont="1" applyFill="1" applyBorder="1" applyAlignment="1">
      <alignment horizontal="center" vertical="center" wrapText="1"/>
      <protection/>
    </xf>
    <xf numFmtId="0" fontId="64" fillId="0" borderId="10" xfId="92" applyFont="1" applyFill="1" applyBorder="1" applyAlignment="1">
      <alignment horizontal="center" vertical="top" wrapText="1"/>
      <protection/>
    </xf>
    <xf numFmtId="0" fontId="63" fillId="0" borderId="10" xfId="92" applyFont="1" applyFill="1" applyBorder="1" applyAlignment="1">
      <alignment horizontal="center" vertical="center" wrapText="1"/>
      <protection/>
    </xf>
    <xf numFmtId="0" fontId="63" fillId="0" borderId="10" xfId="92" applyFont="1" applyFill="1" applyBorder="1" applyAlignment="1">
      <alignment horizontal="center" vertical="top" wrapText="1"/>
      <protection/>
    </xf>
    <xf numFmtId="0" fontId="64" fillId="0" borderId="10" xfId="0" applyFont="1" applyFill="1" applyBorder="1" applyAlignment="1">
      <alignment horizontal="center" vertical="center"/>
    </xf>
    <xf numFmtId="0" fontId="63" fillId="30" borderId="10" xfId="0" applyFont="1" applyFill="1" applyBorder="1" applyAlignment="1">
      <alignment vertical="center" wrapText="1"/>
    </xf>
    <xf numFmtId="0" fontId="63" fillId="30" borderId="10" xfId="0" applyFont="1" applyFill="1" applyBorder="1" applyAlignment="1">
      <alignment horizontal="center" vertical="center" wrapText="1"/>
    </xf>
    <xf numFmtId="0" fontId="63" fillId="30" borderId="10" xfId="0" applyFont="1" applyFill="1" applyBorder="1" applyAlignment="1">
      <alignment horizontal="left" vertical="center" wrapText="1"/>
    </xf>
    <xf numFmtId="0" fontId="63" fillId="30" borderId="10" xfId="0" applyFont="1" applyFill="1" applyBorder="1" applyAlignment="1">
      <alignment horizontal="center" vertical="center"/>
    </xf>
    <xf numFmtId="0" fontId="63" fillId="0" borderId="10" xfId="0" applyFont="1" applyFill="1" applyBorder="1" applyAlignment="1">
      <alignment horizontal="left" vertical="center" wrapText="1"/>
    </xf>
    <xf numFmtId="0" fontId="63"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64" fillId="0" borderId="10" xfId="0" applyFont="1" applyFill="1" applyBorder="1" applyAlignment="1">
      <alignment horizontal="center" wrapText="1"/>
    </xf>
    <xf numFmtId="0" fontId="61" fillId="0" borderId="10" xfId="0" applyFont="1" applyFill="1" applyBorder="1" applyAlignment="1">
      <alignment/>
    </xf>
    <xf numFmtId="0" fontId="66" fillId="0" borderId="10" xfId="0" applyFont="1" applyBorder="1" applyAlignment="1">
      <alignment horizontal="center" vertical="center" wrapText="1"/>
    </xf>
    <xf numFmtId="0" fontId="63" fillId="27" borderId="10" xfId="0" applyFont="1" applyFill="1" applyBorder="1" applyAlignment="1">
      <alignment horizontal="center" vertical="center" wrapText="1"/>
    </xf>
    <xf numFmtId="0" fontId="63" fillId="0" borderId="10" xfId="0" applyFont="1" applyFill="1" applyBorder="1" applyAlignment="1">
      <alignment/>
    </xf>
    <xf numFmtId="0" fontId="63" fillId="31" borderId="10" xfId="0" applyFont="1" applyFill="1" applyBorder="1" applyAlignment="1">
      <alignment horizontal="center" vertical="center" wrapText="1"/>
    </xf>
    <xf numFmtId="0" fontId="64" fillId="31" borderId="10" xfId="0" applyFont="1" applyFill="1" applyBorder="1" applyAlignment="1">
      <alignment horizontal="center" vertical="center" wrapText="1"/>
    </xf>
    <xf numFmtId="0" fontId="63" fillId="28" borderId="10" xfId="0" applyFont="1" applyFill="1" applyBorder="1" applyAlignment="1">
      <alignment horizontal="center" vertical="center" wrapText="1"/>
    </xf>
    <xf numFmtId="0" fontId="63" fillId="28" borderId="10" xfId="0" applyFont="1" applyFill="1" applyBorder="1" applyAlignment="1">
      <alignment horizontal="left" vertical="center" wrapText="1"/>
    </xf>
    <xf numFmtId="0" fontId="64" fillId="30" borderId="10" xfId="0" applyFont="1" applyFill="1" applyBorder="1" applyAlignment="1">
      <alignment vertical="center" wrapText="1"/>
    </xf>
    <xf numFmtId="4" fontId="64" fillId="0" borderId="10" xfId="0" applyNumberFormat="1" applyFont="1" applyFill="1" applyBorder="1" applyAlignment="1">
      <alignment horizontal="center" vertical="center"/>
    </xf>
    <xf numFmtId="2" fontId="64" fillId="0" borderId="10" xfId="0" applyNumberFormat="1" applyFont="1" applyFill="1" applyBorder="1" applyAlignment="1">
      <alignment horizontal="center" vertical="center"/>
    </xf>
    <xf numFmtId="0" fontId="66" fillId="0" borderId="10" xfId="0" applyFont="1" applyFill="1" applyBorder="1" applyAlignment="1">
      <alignment/>
    </xf>
    <xf numFmtId="0" fontId="42" fillId="0" borderId="0" xfId="0" applyFont="1" applyAlignment="1">
      <alignment horizontal="left" vertical="center"/>
    </xf>
    <xf numFmtId="0" fontId="51" fillId="0" borderId="0" xfId="0" applyFont="1" applyAlignment="1">
      <alignment horizontal="left" vertical="center"/>
    </xf>
    <xf numFmtId="0" fontId="61" fillId="0" borderId="10" xfId="0" applyFont="1" applyBorder="1" applyAlignment="1">
      <alignment vertical="center" wrapText="1"/>
    </xf>
    <xf numFmtId="0" fontId="67" fillId="0" borderId="10" xfId="0" applyFont="1" applyFill="1" applyBorder="1" applyAlignment="1">
      <alignment horizontal="center"/>
    </xf>
    <xf numFmtId="0" fontId="42" fillId="0" borderId="0" xfId="0" applyFont="1" applyAlignment="1">
      <alignment horizontal="justify" vertical="center"/>
    </xf>
    <xf numFmtId="0" fontId="68" fillId="0" borderId="0" xfId="0" applyFont="1" applyAlignment="1">
      <alignment vertical="center"/>
    </xf>
    <xf numFmtId="0" fontId="0" fillId="0" borderId="0" xfId="0" applyAlignment="1">
      <alignment horizontal="left"/>
    </xf>
    <xf numFmtId="0" fontId="57" fillId="0" borderId="0" xfId="0" applyFont="1" applyFill="1" applyAlignment="1">
      <alignment horizontal="left"/>
    </xf>
    <xf numFmtId="0" fontId="38" fillId="0" borderId="0" xfId="0" applyFont="1" applyFill="1" applyAlignment="1">
      <alignment horizontal="left"/>
    </xf>
    <xf numFmtId="0" fontId="23" fillId="0" borderId="0" xfId="0" applyFont="1" applyFill="1" applyAlignment="1">
      <alignment horizontal="left"/>
    </xf>
    <xf numFmtId="2" fontId="61" fillId="0" borderId="10" xfId="0" applyNumberFormat="1" applyFont="1" applyBorder="1" applyAlignment="1">
      <alignment vertical="center" wrapText="1"/>
    </xf>
    <xf numFmtId="2" fontId="61" fillId="0" borderId="10" xfId="0" applyNumberFormat="1" applyFont="1" applyFill="1" applyBorder="1" applyAlignment="1">
      <alignment/>
    </xf>
    <xf numFmtId="4" fontId="65" fillId="32" borderId="10" xfId="0" applyNumberFormat="1" applyFont="1" applyFill="1" applyBorder="1" applyAlignment="1">
      <alignment horizontal="center" vertical="center" wrapText="1"/>
    </xf>
    <xf numFmtId="0" fontId="63" fillId="27" borderId="32" xfId="0" applyFont="1" applyFill="1" applyBorder="1" applyAlignment="1">
      <alignment horizontal="center" vertical="center" wrapText="1"/>
    </xf>
    <xf numFmtId="4" fontId="64" fillId="30" borderId="10" xfId="0" applyNumberFormat="1"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39" xfId="0" applyFont="1" applyFill="1" applyBorder="1" applyAlignment="1">
      <alignment horizontal="center" vertical="center" wrapText="1"/>
    </xf>
    <xf numFmtId="4" fontId="28" fillId="0" borderId="27" xfId="0" applyNumberFormat="1" applyFont="1" applyFill="1" applyBorder="1" applyAlignment="1">
      <alignment horizontal="center" vertical="center" wrapText="1"/>
    </xf>
    <xf numFmtId="4" fontId="28" fillId="0" borderId="10" xfId="0" applyNumberFormat="1"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44" xfId="0" applyFont="1" applyFill="1" applyBorder="1" applyAlignment="1">
      <alignment horizontal="center" vertical="center" wrapText="1"/>
    </xf>
    <xf numFmtId="4" fontId="28" fillId="0" borderId="45" xfId="0" applyNumberFormat="1" applyFont="1" applyFill="1" applyBorder="1" applyAlignment="1">
      <alignment horizontal="center" vertical="center" wrapText="1"/>
    </xf>
    <xf numFmtId="4" fontId="28" fillId="0" borderId="27" xfId="0" applyNumberFormat="1" applyFont="1" applyFill="1" applyBorder="1" applyAlignment="1">
      <alignment horizontal="center" vertical="center" wrapText="1"/>
    </xf>
    <xf numFmtId="10" fontId="28" fillId="0" borderId="46" xfId="98" applyNumberFormat="1" applyFont="1" applyFill="1" applyBorder="1" applyAlignment="1">
      <alignment horizontal="center" vertical="center" wrapText="1"/>
    </xf>
    <xf numFmtId="10" fontId="28" fillId="0" borderId="35" xfId="98" applyNumberFormat="1" applyFont="1" applyFill="1" applyBorder="1" applyAlignment="1">
      <alignment horizontal="center" vertical="center" wrapText="1"/>
    </xf>
    <xf numFmtId="0" fontId="46" fillId="0" borderId="35" xfId="0" applyFont="1" applyFill="1" applyBorder="1" applyAlignment="1">
      <alignment horizontal="center" vertical="center" wrapText="1"/>
    </xf>
    <xf numFmtId="0" fontId="31" fillId="0" borderId="16" xfId="0" applyFont="1" applyBorder="1" applyAlignment="1">
      <alignment horizontal="center"/>
    </xf>
    <xf numFmtId="0" fontId="31" fillId="0" borderId="19" xfId="0" applyFont="1" applyBorder="1" applyAlignment="1">
      <alignment horizontal="center"/>
    </xf>
    <xf numFmtId="0" fontId="31" fillId="0" borderId="10" xfId="0" applyFont="1" applyBorder="1" applyAlignment="1">
      <alignment horizontal="center"/>
    </xf>
    <xf numFmtId="0" fontId="32" fillId="0" borderId="45" xfId="0" applyFont="1" applyFill="1" applyBorder="1" applyAlignment="1">
      <alignment horizontal="left" vertical="center" wrapText="1"/>
    </xf>
    <xf numFmtId="0" fontId="32" fillId="0" borderId="27" xfId="0" applyFont="1" applyFill="1" applyBorder="1" applyAlignment="1">
      <alignment horizontal="left" vertical="center" wrapText="1"/>
    </xf>
    <xf numFmtId="0" fontId="23" fillId="0" borderId="10" xfId="0" applyFont="1" applyFill="1" applyBorder="1" applyAlignment="1">
      <alignment horizontal="center"/>
    </xf>
    <xf numFmtId="2" fontId="31" fillId="0" borderId="10" xfId="0" applyNumberFormat="1" applyFont="1" applyFill="1" applyBorder="1" applyAlignment="1">
      <alignment horizontal="center"/>
    </xf>
    <xf numFmtId="2" fontId="21" fillId="0" borderId="10" xfId="0" applyNumberFormat="1" applyFont="1" applyFill="1" applyBorder="1" applyAlignment="1">
      <alignment horizontal="center"/>
    </xf>
    <xf numFmtId="2" fontId="21" fillId="0" borderId="16" xfId="0" applyNumberFormat="1" applyFont="1" applyFill="1" applyBorder="1" applyAlignment="1">
      <alignment horizontal="right"/>
    </xf>
    <xf numFmtId="2" fontId="21" fillId="0" borderId="19" xfId="0" applyNumberFormat="1" applyFont="1" applyFill="1" applyBorder="1" applyAlignment="1">
      <alignment horizontal="right"/>
    </xf>
    <xf numFmtId="0" fontId="63" fillId="0" borderId="0" xfId="0" applyFont="1" applyFill="1" applyAlignment="1">
      <alignment horizontal="right"/>
    </xf>
    <xf numFmtId="0" fontId="62" fillId="0" borderId="10" xfId="0" applyFont="1" applyBorder="1" applyAlignment="1">
      <alignment horizontal="center" vertical="center" wrapText="1"/>
    </xf>
    <xf numFmtId="0" fontId="62" fillId="0" borderId="10" xfId="0" applyFont="1" applyBorder="1" applyAlignment="1">
      <alignment horizontal="center" wrapText="1"/>
    </xf>
    <xf numFmtId="0" fontId="71" fillId="0" borderId="0" xfId="0" applyFont="1" applyAlignment="1">
      <alignment horizontal="left"/>
    </xf>
    <xf numFmtId="0" fontId="66" fillId="30" borderId="24" xfId="0" applyFont="1" applyFill="1" applyBorder="1" applyAlignment="1">
      <alignment horizontal="right" vertical="center"/>
    </xf>
    <xf numFmtId="0" fontId="51" fillId="0" borderId="0" xfId="0" applyFont="1" applyFill="1" applyAlignment="1">
      <alignment horizontal="left"/>
    </xf>
    <xf numFmtId="0" fontId="42" fillId="0" borderId="0" xfId="0" applyFont="1" applyAlignment="1">
      <alignment horizontal="left" vertical="top" wrapText="1"/>
    </xf>
    <xf numFmtId="0" fontId="42" fillId="0" borderId="0" xfId="0" applyFont="1" applyAlignment="1">
      <alignment vertical="center" wrapText="1"/>
    </xf>
    <xf numFmtId="0" fontId="0" fillId="0" borderId="0" xfId="0" applyFont="1" applyAlignment="1">
      <alignment vertical="center" wrapText="1"/>
    </xf>
    <xf numFmtId="0" fontId="51" fillId="0" borderId="0" xfId="0" applyFont="1" applyAlignment="1">
      <alignment horizontal="left" vertical="center"/>
    </xf>
    <xf numFmtId="0" fontId="62" fillId="0" borderId="16" xfId="0" applyFont="1" applyFill="1" applyBorder="1" applyAlignment="1">
      <alignment horizontal="right" vertical="center"/>
    </xf>
    <xf numFmtId="0" fontId="62" fillId="0" borderId="23" xfId="0" applyFont="1" applyFill="1" applyBorder="1" applyAlignment="1">
      <alignment horizontal="right" vertical="center"/>
    </xf>
    <xf numFmtId="0" fontId="62" fillId="0" borderId="19" xfId="0" applyFont="1" applyFill="1" applyBorder="1" applyAlignment="1">
      <alignment horizontal="right" vertical="center"/>
    </xf>
    <xf numFmtId="0" fontId="42" fillId="29" borderId="0" xfId="0" applyFont="1" applyFill="1" applyAlignment="1">
      <alignment horizontal="left" vertical="center" wrapText="1"/>
    </xf>
    <xf numFmtId="0" fontId="0" fillId="29" borderId="0" xfId="0" applyFill="1" applyAlignment="1">
      <alignment horizontal="left" wrapText="1"/>
    </xf>
    <xf numFmtId="0" fontId="51" fillId="0" borderId="0" xfId="0" applyFont="1" applyFill="1" applyAlignment="1">
      <alignment horizontal="center"/>
    </xf>
    <xf numFmtId="0" fontId="51" fillId="0" borderId="0" xfId="0" applyFont="1" applyFill="1" applyAlignment="1">
      <alignment horizontal="center" vertical="center"/>
    </xf>
    <xf numFmtId="0" fontId="51" fillId="0" borderId="47" xfId="0" applyFont="1" applyFill="1" applyBorder="1" applyAlignment="1">
      <alignment horizontal="left"/>
    </xf>
    <xf numFmtId="0" fontId="66" fillId="0" borderId="10" xfId="0" applyFont="1" applyFill="1" applyBorder="1" applyAlignment="1">
      <alignment horizontal="right"/>
    </xf>
    <xf numFmtId="0" fontId="60" fillId="27" borderId="0" xfId="0" applyFont="1" applyFill="1" applyAlignment="1">
      <alignment horizontal="left" vertical="center" wrapText="1"/>
    </xf>
    <xf numFmtId="0" fontId="0" fillId="27" borderId="0" xfId="0" applyFill="1" applyAlignment="1">
      <alignment horizontal="left"/>
    </xf>
    <xf numFmtId="0" fontId="60" fillId="28" borderId="0" xfId="0" applyFont="1" applyFill="1" applyAlignment="1">
      <alignment horizontal="left" vertical="center" wrapText="1"/>
    </xf>
    <xf numFmtId="0" fontId="0" fillId="28" borderId="0" xfId="0" applyFill="1" applyAlignment="1">
      <alignment horizontal="left" vertical="center" wrapText="1"/>
    </xf>
    <xf numFmtId="0" fontId="42" fillId="0" borderId="0" xfId="0" applyFont="1" applyAlignment="1">
      <alignment horizontal="left" vertical="center"/>
    </xf>
    <xf numFmtId="0" fontId="42" fillId="0" borderId="0" xfId="0" applyFont="1" applyAlignment="1">
      <alignment horizontal="left" vertical="center" wrapText="1"/>
    </xf>
  </cellXfs>
  <cellStyles count="95">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Bad" xfId="64"/>
    <cellStyle name="Brīdinājuma teksts" xfId="65"/>
    <cellStyle name="Calculation" xfId="66"/>
    <cellStyle name="Check Cell" xfId="67"/>
    <cellStyle name="Comma" xfId="68"/>
    <cellStyle name="Comma [0]"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Ievade" xfId="80"/>
    <cellStyle name="Input" xfId="81"/>
    <cellStyle name="Izvade" xfId="82"/>
    <cellStyle name="Kopsumma" xfId="83"/>
    <cellStyle name="Labs" xfId="84"/>
    <cellStyle name="Linked Cell" xfId="85"/>
    <cellStyle name="Neitrāls" xfId="86"/>
    <cellStyle name="Neutral" xfId="87"/>
    <cellStyle name="Normal 2" xfId="88"/>
    <cellStyle name="Normal 2 2" xfId="89"/>
    <cellStyle name="Normal 3" xfId="90"/>
    <cellStyle name="Normal_Book3" xfId="91"/>
    <cellStyle name="Normal_Sheet1" xfId="92"/>
    <cellStyle name="Nosaukums" xfId="93"/>
    <cellStyle name="Note" xfId="94"/>
    <cellStyle name="Output" xfId="95"/>
    <cellStyle name="Paskaidrojošs teksts" xfId="96"/>
    <cellStyle name="Pārbaudes šūna" xfId="97"/>
    <cellStyle name="Percent" xfId="98"/>
    <cellStyle name="Piezīme" xfId="99"/>
    <cellStyle name="Saistītā šūna" xfId="100"/>
    <cellStyle name="Slikts" xfId="101"/>
    <cellStyle name="Title" xfId="102"/>
    <cellStyle name="Total" xfId="103"/>
    <cellStyle name="Virsraksts 1" xfId="104"/>
    <cellStyle name="Virsraksts 2" xfId="105"/>
    <cellStyle name="Virsraksts 3" xfId="106"/>
    <cellStyle name="Virsraksts 4" xfId="107"/>
    <cellStyle name="Warning Text"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364"/>
  <sheetViews>
    <sheetView zoomScalePageLayoutView="0" workbookViewId="0" topLeftCell="A1">
      <pane ySplit="15" topLeftCell="A19" activePane="bottomLeft" state="frozen"/>
      <selection pane="topLeft" activeCell="A1" sqref="A1"/>
      <selection pane="bottomLeft" activeCell="N44" sqref="N44"/>
    </sheetView>
  </sheetViews>
  <sheetFormatPr defaultColWidth="9.140625" defaultRowHeight="15" outlineLevelRow="1"/>
  <cols>
    <col min="1" max="1" width="4.28125" style="16" customWidth="1"/>
    <col min="2" max="2" width="3.57421875" style="23" customWidth="1"/>
    <col min="3" max="3" width="26.57421875" style="33" customWidth="1"/>
    <col min="4" max="4" width="10.00390625" style="25" customWidth="1"/>
    <col min="5" max="5" width="7.421875" style="302" customWidth="1"/>
    <col min="6" max="6" width="11.140625" style="316" customWidth="1"/>
    <col min="7" max="7" width="8.28125" style="18" customWidth="1"/>
    <col min="8" max="10" width="7.8515625" style="18" customWidth="1"/>
    <col min="11" max="11" width="8.28125" style="18" customWidth="1"/>
    <col min="12" max="12" width="7.57421875" style="18" customWidth="1"/>
    <col min="13" max="13" width="7.7109375" style="18" customWidth="1"/>
    <col min="14" max="14" width="8.57421875" style="18" customWidth="1"/>
    <col min="15" max="15" width="8.00390625" style="18" customWidth="1"/>
    <col min="16" max="16" width="7.57421875" style="18" customWidth="1"/>
    <col min="17" max="17" width="7.8515625" style="18" customWidth="1"/>
    <col min="18" max="18" width="8.00390625" style="18" customWidth="1"/>
    <col min="19" max="25" width="7.8515625" style="18" customWidth="1"/>
    <col min="26" max="26" width="7.8515625" style="18" bestFit="1" customWidth="1"/>
    <col min="27" max="28" width="7.8515625" style="18" customWidth="1"/>
    <col min="29" max="29" width="7.8515625" style="18" bestFit="1" customWidth="1"/>
    <col min="30" max="31" width="7.8515625" style="18" customWidth="1"/>
    <col min="32" max="32" width="7.8515625" style="18" bestFit="1" customWidth="1"/>
    <col min="33" max="33" width="7.8515625" style="18" customWidth="1"/>
    <col min="34" max="41" width="6.8515625" style="18" customWidth="1"/>
    <col min="42" max="42" width="7.8515625" style="18" customWidth="1"/>
    <col min="43" max="49" width="6.8515625" style="18" customWidth="1"/>
    <col min="50" max="50" width="6.8515625" style="37" customWidth="1"/>
    <col min="51" max="52" width="6.421875" style="18" customWidth="1"/>
    <col min="53" max="53" width="7.140625" style="18" customWidth="1"/>
    <col min="54" max="54" width="6.57421875" style="18" customWidth="1"/>
    <col min="55" max="55" width="3.57421875" style="137" customWidth="1"/>
    <col min="56" max="56" width="4.7109375" style="187" customWidth="1"/>
    <col min="57" max="57" width="8.140625" style="188" customWidth="1"/>
    <col min="58" max="58" width="10.28125" style="1" customWidth="1"/>
    <col min="59" max="59" width="12.57421875" style="1" bestFit="1" customWidth="1"/>
    <col min="60" max="16384" width="9.140625" style="1" customWidth="1"/>
  </cols>
  <sheetData>
    <row r="1" spans="1:50" ht="17.25" thickBot="1">
      <c r="A1" s="296" t="s">
        <v>191</v>
      </c>
      <c r="D1" s="364" t="s">
        <v>104</v>
      </c>
      <c r="G1" s="277" t="s">
        <v>178</v>
      </c>
      <c r="H1" s="278"/>
      <c r="I1" s="279"/>
      <c r="J1" s="278"/>
      <c r="K1" s="279"/>
      <c r="L1" s="280"/>
      <c r="M1" s="280"/>
      <c r="N1" s="281">
        <v>2943430</v>
      </c>
      <c r="O1" s="282" t="s">
        <v>179</v>
      </c>
      <c r="P1" s="283"/>
      <c r="Q1" s="283"/>
      <c r="R1" s="284"/>
      <c r="S1" s="285"/>
      <c r="T1" s="286"/>
      <c r="U1" s="283"/>
      <c r="AX1" s="45"/>
    </row>
    <row r="2" spans="1:62" s="42" customFormat="1" ht="16.5" thickBot="1">
      <c r="A2" s="202"/>
      <c r="B2" s="180"/>
      <c r="C2" s="299" t="s">
        <v>189</v>
      </c>
      <c r="D2" s="363"/>
      <c r="E2" s="303"/>
      <c r="F2" s="407"/>
      <c r="G2" s="418" t="e">
        <f>G3+G6+G7-G15</f>
        <v>#REF!</v>
      </c>
      <c r="H2" s="397" t="e">
        <f>G2+H3+H6+H7-H15</f>
        <v>#REF!</v>
      </c>
      <c r="I2" s="397" t="e">
        <f aca="true" t="shared" si="0" ref="I2:BB2">H2+I3+I6+I7-I15</f>
        <v>#REF!</v>
      </c>
      <c r="J2" s="397" t="e">
        <f t="shared" si="0"/>
        <v>#REF!</v>
      </c>
      <c r="K2" s="397" t="e">
        <f t="shared" si="0"/>
        <v>#REF!</v>
      </c>
      <c r="L2" s="397" t="e">
        <f t="shared" si="0"/>
        <v>#REF!</v>
      </c>
      <c r="M2" s="300" t="e">
        <f t="shared" si="0"/>
        <v>#REF!</v>
      </c>
      <c r="N2" s="300" t="e">
        <f t="shared" si="0"/>
        <v>#REF!</v>
      </c>
      <c r="O2" s="300" t="e">
        <f t="shared" si="0"/>
        <v>#REF!</v>
      </c>
      <c r="P2" s="300" t="e">
        <f t="shared" si="0"/>
        <v>#REF!</v>
      </c>
      <c r="Q2" s="397" t="e">
        <f t="shared" si="0"/>
        <v>#REF!</v>
      </c>
      <c r="R2" s="419" t="e">
        <f t="shared" si="0"/>
        <v>#REF!</v>
      </c>
      <c r="S2" s="418" t="e">
        <f t="shared" si="0"/>
        <v>#REF!</v>
      </c>
      <c r="T2" s="397" t="e">
        <f t="shared" si="0"/>
        <v>#REF!</v>
      </c>
      <c r="U2" s="397" t="e">
        <f t="shared" si="0"/>
        <v>#REF!</v>
      </c>
      <c r="V2" s="397" t="e">
        <f t="shared" si="0"/>
        <v>#REF!</v>
      </c>
      <c r="W2" s="300" t="e">
        <f t="shared" si="0"/>
        <v>#REF!</v>
      </c>
      <c r="X2" s="300" t="e">
        <f t="shared" si="0"/>
        <v>#REF!</v>
      </c>
      <c r="Y2" s="300" t="e">
        <f t="shared" si="0"/>
        <v>#REF!</v>
      </c>
      <c r="Z2" s="300" t="e">
        <f t="shared" si="0"/>
        <v>#REF!</v>
      </c>
      <c r="AA2" s="300" t="e">
        <f t="shared" si="0"/>
        <v>#REF!</v>
      </c>
      <c r="AB2" s="300" t="e">
        <f t="shared" si="0"/>
        <v>#REF!</v>
      </c>
      <c r="AC2" s="397" t="e">
        <f t="shared" si="0"/>
        <v>#REF!</v>
      </c>
      <c r="AD2" s="419" t="e">
        <f t="shared" si="0"/>
        <v>#REF!</v>
      </c>
      <c r="AE2" s="418" t="e">
        <f t="shared" si="0"/>
        <v>#REF!</v>
      </c>
      <c r="AF2" s="397" t="e">
        <f t="shared" si="0"/>
        <v>#REF!</v>
      </c>
      <c r="AG2" s="397" t="e">
        <f t="shared" si="0"/>
        <v>#REF!</v>
      </c>
      <c r="AH2" s="397" t="e">
        <f t="shared" si="0"/>
        <v>#REF!</v>
      </c>
      <c r="AI2" s="300" t="e">
        <f t="shared" si="0"/>
        <v>#REF!</v>
      </c>
      <c r="AJ2" s="300" t="e">
        <f t="shared" si="0"/>
        <v>#REF!</v>
      </c>
      <c r="AK2" s="300" t="e">
        <f t="shared" si="0"/>
        <v>#REF!</v>
      </c>
      <c r="AL2" s="300" t="e">
        <f t="shared" si="0"/>
        <v>#REF!</v>
      </c>
      <c r="AM2" s="300" t="e">
        <f t="shared" si="0"/>
        <v>#REF!</v>
      </c>
      <c r="AN2" s="300" t="e">
        <f t="shared" si="0"/>
        <v>#REF!</v>
      </c>
      <c r="AO2" s="397" t="e">
        <f t="shared" si="0"/>
        <v>#REF!</v>
      </c>
      <c r="AP2" s="419" t="e">
        <f t="shared" si="0"/>
        <v>#REF!</v>
      </c>
      <c r="AQ2" s="418" t="e">
        <f t="shared" si="0"/>
        <v>#REF!</v>
      </c>
      <c r="AR2" s="397" t="e">
        <f t="shared" si="0"/>
        <v>#REF!</v>
      </c>
      <c r="AS2" s="397" t="e">
        <f t="shared" si="0"/>
        <v>#REF!</v>
      </c>
      <c r="AT2" s="397" t="e">
        <f t="shared" si="0"/>
        <v>#REF!</v>
      </c>
      <c r="AU2" s="300" t="e">
        <f t="shared" si="0"/>
        <v>#REF!</v>
      </c>
      <c r="AV2" s="300" t="e">
        <f t="shared" si="0"/>
        <v>#REF!</v>
      </c>
      <c r="AW2" s="300" t="e">
        <f t="shared" si="0"/>
        <v>#REF!</v>
      </c>
      <c r="AX2" s="300" t="e">
        <f t="shared" si="0"/>
        <v>#REF!</v>
      </c>
      <c r="AY2" s="300" t="e">
        <f t="shared" si="0"/>
        <v>#REF!</v>
      </c>
      <c r="AZ2" s="300" t="e">
        <f t="shared" si="0"/>
        <v>#REF!</v>
      </c>
      <c r="BA2" s="300" t="e">
        <f t="shared" si="0"/>
        <v>#REF!</v>
      </c>
      <c r="BB2" s="437" t="e">
        <f t="shared" si="0"/>
        <v>#REF!</v>
      </c>
      <c r="BC2" s="178"/>
      <c r="BD2" s="189"/>
      <c r="BE2" s="522" t="s">
        <v>206</v>
      </c>
      <c r="BF2" s="523"/>
      <c r="BG2" s="332" t="e">
        <f>D15</f>
        <v>#REF!</v>
      </c>
      <c r="BJ2" s="374" t="e">
        <f>BF12/BG2</f>
        <v>#REF!</v>
      </c>
    </row>
    <row r="3" spans="1:59" s="42" customFormat="1" ht="16.5" customHeight="1">
      <c r="A3" s="202"/>
      <c r="B3" s="180"/>
      <c r="C3" s="297" t="s">
        <v>214</v>
      </c>
      <c r="D3" s="365" t="e">
        <f>SUM(G3:BB3)</f>
        <v>#REF!</v>
      </c>
      <c r="E3" s="366"/>
      <c r="F3" s="408"/>
      <c r="G3" s="420">
        <f>G4+G5</f>
        <v>2943430</v>
      </c>
      <c r="H3" s="398" t="e">
        <f aca="true" t="shared" si="1" ref="H3:BB3">H4+H5</f>
        <v>#REF!</v>
      </c>
      <c r="I3" s="398">
        <f t="shared" si="1"/>
        <v>0</v>
      </c>
      <c r="J3" s="398">
        <f t="shared" si="1"/>
        <v>0</v>
      </c>
      <c r="K3" s="398">
        <f t="shared" si="1"/>
        <v>0</v>
      </c>
      <c r="L3" s="398">
        <f t="shared" si="1"/>
        <v>0</v>
      </c>
      <c r="M3" s="298">
        <f t="shared" si="1"/>
        <v>0</v>
      </c>
      <c r="N3" s="298" t="e">
        <f t="shared" si="1"/>
        <v>#REF!</v>
      </c>
      <c r="O3" s="298">
        <f>O4+O5</f>
        <v>0</v>
      </c>
      <c r="P3" s="298">
        <f t="shared" si="1"/>
        <v>0</v>
      </c>
      <c r="Q3" s="398" t="e">
        <f>Q4+Q5</f>
        <v>#REF!</v>
      </c>
      <c r="R3" s="421" t="e">
        <f t="shared" si="1"/>
        <v>#REF!</v>
      </c>
      <c r="S3" s="420">
        <f>S4+S5</f>
        <v>0</v>
      </c>
      <c r="T3" s="398">
        <f t="shared" si="1"/>
        <v>0</v>
      </c>
      <c r="U3" s="398" t="e">
        <f>U4+U5</f>
        <v>#REF!</v>
      </c>
      <c r="V3" s="398">
        <f t="shared" si="1"/>
        <v>0</v>
      </c>
      <c r="W3" s="298">
        <f t="shared" si="1"/>
        <v>0</v>
      </c>
      <c r="X3" s="298" t="e">
        <f t="shared" si="1"/>
        <v>#REF!</v>
      </c>
      <c r="Y3" s="298">
        <f>Y4+Y5</f>
        <v>0</v>
      </c>
      <c r="Z3" s="298">
        <f t="shared" si="1"/>
        <v>0</v>
      </c>
      <c r="AA3" s="298" t="e">
        <f>AA4+AA5</f>
        <v>#REF!</v>
      </c>
      <c r="AB3" s="298">
        <f t="shared" si="1"/>
        <v>0</v>
      </c>
      <c r="AC3" s="398">
        <f t="shared" si="1"/>
        <v>0</v>
      </c>
      <c r="AD3" s="421" t="e">
        <f t="shared" si="1"/>
        <v>#REF!</v>
      </c>
      <c r="AE3" s="420">
        <f t="shared" si="1"/>
        <v>0</v>
      </c>
      <c r="AF3" s="398">
        <f t="shared" si="1"/>
        <v>0</v>
      </c>
      <c r="AG3" s="398">
        <f t="shared" si="1"/>
        <v>0</v>
      </c>
      <c r="AH3" s="398">
        <f t="shared" si="1"/>
        <v>0</v>
      </c>
      <c r="AI3" s="298">
        <f t="shared" si="1"/>
        <v>0</v>
      </c>
      <c r="AJ3" s="298" t="e">
        <f t="shared" si="1"/>
        <v>#REF!</v>
      </c>
      <c r="AK3" s="298">
        <f t="shared" si="1"/>
        <v>0</v>
      </c>
      <c r="AL3" s="298">
        <f t="shared" si="1"/>
        <v>0</v>
      </c>
      <c r="AM3" s="298">
        <f t="shared" si="1"/>
        <v>0</v>
      </c>
      <c r="AN3" s="298">
        <f t="shared" si="1"/>
        <v>0</v>
      </c>
      <c r="AO3" s="398" t="e">
        <f>AO4+AO5</f>
        <v>#REF!</v>
      </c>
      <c r="AP3" s="421">
        <f>AP4+AP5</f>
        <v>0</v>
      </c>
      <c r="AQ3" s="420">
        <f t="shared" si="1"/>
        <v>0</v>
      </c>
      <c r="AR3" s="398">
        <f t="shared" si="1"/>
        <v>0</v>
      </c>
      <c r="AS3" s="398">
        <f t="shared" si="1"/>
        <v>0</v>
      </c>
      <c r="AT3" s="398">
        <f t="shared" si="1"/>
        <v>0</v>
      </c>
      <c r="AU3" s="298">
        <f t="shared" si="1"/>
        <v>0</v>
      </c>
      <c r="AV3" s="298">
        <f t="shared" si="1"/>
        <v>0</v>
      </c>
      <c r="AW3" s="298">
        <f t="shared" si="1"/>
        <v>0</v>
      </c>
      <c r="AX3" s="298">
        <f t="shared" si="1"/>
        <v>0</v>
      </c>
      <c r="AY3" s="298">
        <f t="shared" si="1"/>
        <v>0</v>
      </c>
      <c r="AZ3" s="298">
        <f t="shared" si="1"/>
        <v>0</v>
      </c>
      <c r="BA3" s="298" t="e">
        <f t="shared" si="1"/>
        <v>#REF!</v>
      </c>
      <c r="BB3" s="438">
        <f t="shared" si="1"/>
        <v>0</v>
      </c>
      <c r="BC3" s="178"/>
      <c r="BD3" s="189"/>
      <c r="BE3" s="528" t="s">
        <v>207</v>
      </c>
      <c r="BF3" s="528"/>
      <c r="BG3" s="332" t="e">
        <f>BG2*0.8978</f>
        <v>#REF!</v>
      </c>
    </row>
    <row r="4" spans="1:59" s="42" customFormat="1" ht="13.5">
      <c r="A4" s="202"/>
      <c r="B4" s="180"/>
      <c r="C4" s="273" t="s">
        <v>190</v>
      </c>
      <c r="D4" s="365" t="e">
        <f>SUM(G4:BB4)</f>
        <v>#REF!</v>
      </c>
      <c r="E4" s="367"/>
      <c r="F4" s="409"/>
      <c r="G4" s="422">
        <v>2943430</v>
      </c>
      <c r="H4" s="399"/>
      <c r="I4" s="399"/>
      <c r="J4" s="399"/>
      <c r="K4" s="399"/>
      <c r="L4" s="399"/>
      <c r="M4" s="332"/>
      <c r="N4" s="332"/>
      <c r="O4" s="325"/>
      <c r="P4" s="332"/>
      <c r="Q4" s="399" t="e">
        <f>SUM(G15:L15)*0.8978</f>
        <v>#REF!</v>
      </c>
      <c r="R4" s="423"/>
      <c r="S4" s="435"/>
      <c r="T4" s="399"/>
      <c r="U4" s="399" t="e">
        <f>SUM(M15:P15)*0.8978</f>
        <v>#REF!</v>
      </c>
      <c r="V4" s="399"/>
      <c r="W4" s="332"/>
      <c r="X4" s="332"/>
      <c r="Y4" s="325"/>
      <c r="Z4" s="332"/>
      <c r="AA4" s="332" t="e">
        <f>BG4-(G4+Q4+U4)</f>
        <v>#REF!</v>
      </c>
      <c r="AB4" s="332"/>
      <c r="AC4" s="399"/>
      <c r="AD4" s="423"/>
      <c r="AE4" s="424"/>
      <c r="AF4" s="399"/>
      <c r="AG4" s="403"/>
      <c r="AH4" s="403"/>
      <c r="AI4" s="368"/>
      <c r="AJ4" s="368"/>
      <c r="AK4" s="368"/>
      <c r="AL4" s="368"/>
      <c r="AM4" s="368"/>
      <c r="AN4" s="368"/>
      <c r="AO4" s="403"/>
      <c r="AP4" s="436"/>
      <c r="AQ4" s="439"/>
      <c r="AR4" s="403"/>
      <c r="AS4" s="403"/>
      <c r="AT4" s="403"/>
      <c r="AU4" s="368"/>
      <c r="AV4" s="368"/>
      <c r="AW4" s="368"/>
      <c r="AX4" s="368"/>
      <c r="AY4" s="368"/>
      <c r="AZ4" s="368"/>
      <c r="BA4" s="368" t="e">
        <f>BG5</f>
        <v>#REF!</v>
      </c>
      <c r="BB4" s="440"/>
      <c r="BC4" s="178"/>
      <c r="BD4" s="189"/>
      <c r="BE4" s="524" t="s">
        <v>213</v>
      </c>
      <c r="BF4" s="524"/>
      <c r="BG4" s="332" t="e">
        <f>BG3-BG5</f>
        <v>#REF!</v>
      </c>
    </row>
    <row r="5" spans="1:59" s="42" customFormat="1" ht="13.5">
      <c r="A5" s="202"/>
      <c r="B5" s="180"/>
      <c r="C5" s="274" t="s">
        <v>215</v>
      </c>
      <c r="D5" s="365" t="e">
        <f>SUM(G5:BB5)</f>
        <v>#REF!</v>
      </c>
      <c r="E5" s="369"/>
      <c r="F5" s="410"/>
      <c r="G5" s="424"/>
      <c r="H5" s="399" t="e">
        <f>SUM(G15:L15)*BH9</f>
        <v>#REF!</v>
      </c>
      <c r="I5" s="399"/>
      <c r="J5" s="399"/>
      <c r="K5" s="399"/>
      <c r="L5" s="399"/>
      <c r="M5" s="332"/>
      <c r="N5" s="332" t="e">
        <f>SUM(M15:P15)*BH9</f>
        <v>#REF!</v>
      </c>
      <c r="O5" s="332"/>
      <c r="P5" s="332"/>
      <c r="Q5" s="399"/>
      <c r="R5" s="423" t="e">
        <f>SUM(Q15:V15)*BH9</f>
        <v>#REF!</v>
      </c>
      <c r="S5" s="424"/>
      <c r="T5" s="399"/>
      <c r="U5" s="399"/>
      <c r="V5" s="399"/>
      <c r="W5" s="332"/>
      <c r="X5" s="332" t="e">
        <f>SUM(W15:AB15)*BH9</f>
        <v>#REF!</v>
      </c>
      <c r="Y5" s="332"/>
      <c r="Z5" s="332"/>
      <c r="AA5" s="332"/>
      <c r="AB5" s="332"/>
      <c r="AC5" s="399"/>
      <c r="AD5" s="423" t="e">
        <f>SUM(AC15:AH15)*BH9</f>
        <v>#REF!</v>
      </c>
      <c r="AE5" s="424"/>
      <c r="AF5" s="399"/>
      <c r="AG5" s="403"/>
      <c r="AH5" s="403"/>
      <c r="AI5" s="368"/>
      <c r="AJ5" s="368" t="e">
        <f>SUM(AI15:AN15)*BH9</f>
        <v>#REF!</v>
      </c>
      <c r="AK5" s="368"/>
      <c r="AL5" s="368"/>
      <c r="AM5" s="368"/>
      <c r="AN5" s="368"/>
      <c r="AO5" s="403" t="e">
        <f>BG9-SUM(G5:AN5)</f>
        <v>#REF!</v>
      </c>
      <c r="AP5" s="402"/>
      <c r="AQ5" s="439"/>
      <c r="AR5" s="403"/>
      <c r="AS5" s="403"/>
      <c r="AT5" s="403"/>
      <c r="AU5" s="368"/>
      <c r="AV5" s="368"/>
      <c r="AW5" s="368"/>
      <c r="AX5" s="368"/>
      <c r="AY5" s="368"/>
      <c r="AZ5" s="368"/>
      <c r="BA5" s="368"/>
      <c r="BB5" s="440"/>
      <c r="BC5" s="178"/>
      <c r="BD5" s="189"/>
      <c r="BE5" s="528" t="s">
        <v>208</v>
      </c>
      <c r="BF5" s="528"/>
      <c r="BG5" s="332" t="e">
        <f>BG3*0.1</f>
        <v>#REF!</v>
      </c>
    </row>
    <row r="6" spans="1:60" s="42" customFormat="1" ht="13.5">
      <c r="A6" s="202"/>
      <c r="B6" s="180"/>
      <c r="C6" s="404" t="s">
        <v>163</v>
      </c>
      <c r="D6" s="405">
        <f>SUM(G6:BB6)</f>
        <v>501008.9999999999</v>
      </c>
      <c r="E6" s="406"/>
      <c r="F6" s="411"/>
      <c r="G6" s="425">
        <f>G16</f>
        <v>75151.35</v>
      </c>
      <c r="H6" s="370">
        <f aca="true" t="shared" si="2" ref="H6:AX6">H16</f>
        <v>75151.35</v>
      </c>
      <c r="I6" s="370">
        <f t="shared" si="2"/>
        <v>75151.35</v>
      </c>
      <c r="J6" s="370">
        <f t="shared" si="2"/>
        <v>75151.35</v>
      </c>
      <c r="K6" s="370">
        <f t="shared" si="2"/>
        <v>75151.35</v>
      </c>
      <c r="L6" s="370">
        <f t="shared" si="2"/>
        <v>75151.35</v>
      </c>
      <c r="M6" s="370">
        <f t="shared" si="2"/>
        <v>0</v>
      </c>
      <c r="N6" s="370">
        <f t="shared" si="2"/>
        <v>0</v>
      </c>
      <c r="O6" s="370">
        <f t="shared" si="2"/>
        <v>0</v>
      </c>
      <c r="P6" s="370">
        <f t="shared" si="2"/>
        <v>0</v>
      </c>
      <c r="Q6" s="370">
        <f t="shared" si="2"/>
        <v>0</v>
      </c>
      <c r="R6" s="426">
        <f t="shared" si="2"/>
        <v>0</v>
      </c>
      <c r="S6" s="425">
        <f t="shared" si="2"/>
        <v>0</v>
      </c>
      <c r="T6" s="370">
        <f t="shared" si="2"/>
        <v>0</v>
      </c>
      <c r="U6" s="370">
        <f t="shared" si="2"/>
        <v>0</v>
      </c>
      <c r="V6" s="370">
        <f t="shared" si="2"/>
        <v>0</v>
      </c>
      <c r="W6" s="370">
        <f t="shared" si="2"/>
        <v>0</v>
      </c>
      <c r="X6" s="370">
        <f t="shared" si="2"/>
        <v>0</v>
      </c>
      <c r="Y6" s="370">
        <f t="shared" si="2"/>
        <v>0</v>
      </c>
      <c r="Z6" s="370">
        <f t="shared" si="2"/>
        <v>0</v>
      </c>
      <c r="AA6" s="370">
        <f t="shared" si="2"/>
        <v>0</v>
      </c>
      <c r="AB6" s="370">
        <f t="shared" si="2"/>
        <v>0</v>
      </c>
      <c r="AC6" s="370">
        <f t="shared" si="2"/>
        <v>0</v>
      </c>
      <c r="AD6" s="426">
        <f t="shared" si="2"/>
        <v>0</v>
      </c>
      <c r="AE6" s="425">
        <f t="shared" si="2"/>
        <v>0</v>
      </c>
      <c r="AF6" s="370">
        <f t="shared" si="2"/>
        <v>0</v>
      </c>
      <c r="AG6" s="370">
        <f t="shared" si="2"/>
        <v>0</v>
      </c>
      <c r="AH6" s="370">
        <f t="shared" si="2"/>
        <v>0</v>
      </c>
      <c r="AI6" s="370">
        <f t="shared" si="2"/>
        <v>0</v>
      </c>
      <c r="AJ6" s="370">
        <f t="shared" si="2"/>
        <v>0</v>
      </c>
      <c r="AK6" s="370">
        <f t="shared" si="2"/>
        <v>0</v>
      </c>
      <c r="AL6" s="370">
        <f t="shared" si="2"/>
        <v>0</v>
      </c>
      <c r="AM6" s="370">
        <f t="shared" si="2"/>
        <v>0</v>
      </c>
      <c r="AN6" s="370">
        <f t="shared" si="2"/>
        <v>0</v>
      </c>
      <c r="AO6" s="370">
        <f t="shared" si="2"/>
        <v>0</v>
      </c>
      <c r="AP6" s="426">
        <f t="shared" si="2"/>
        <v>0</v>
      </c>
      <c r="AQ6" s="425">
        <f t="shared" si="2"/>
        <v>0</v>
      </c>
      <c r="AR6" s="370">
        <f t="shared" si="2"/>
        <v>0</v>
      </c>
      <c r="AS6" s="370">
        <f t="shared" si="2"/>
        <v>0</v>
      </c>
      <c r="AT6" s="370">
        <f t="shared" si="2"/>
        <v>0</v>
      </c>
      <c r="AU6" s="370">
        <f t="shared" si="2"/>
        <v>12525.225</v>
      </c>
      <c r="AV6" s="370">
        <f t="shared" si="2"/>
        <v>12525.225</v>
      </c>
      <c r="AW6" s="370">
        <f t="shared" si="2"/>
        <v>12525.225</v>
      </c>
      <c r="AX6" s="370">
        <f t="shared" si="2"/>
        <v>12525.225</v>
      </c>
      <c r="AY6" s="288"/>
      <c r="AZ6" s="288"/>
      <c r="BA6" s="288"/>
      <c r="BB6" s="289"/>
      <c r="BC6" s="178"/>
      <c r="BD6" s="189"/>
      <c r="BE6" s="528" t="s">
        <v>209</v>
      </c>
      <c r="BF6" s="528"/>
      <c r="BG6" s="338" t="e">
        <f>BG3-N1-BG5</f>
        <v>#REF!</v>
      </c>
      <c r="BH6" s="42" t="s">
        <v>210</v>
      </c>
    </row>
    <row r="7" spans="1:57" s="8" customFormat="1" ht="13.5">
      <c r="A7" s="203"/>
      <c r="C7" s="275" t="s">
        <v>216</v>
      </c>
      <c r="D7" s="365">
        <f>SUM(G7:BB7)</f>
        <v>0</v>
      </c>
      <c r="E7" s="371"/>
      <c r="F7" s="412"/>
      <c r="G7" s="427"/>
      <c r="H7" s="400"/>
      <c r="I7" s="400"/>
      <c r="J7" s="400"/>
      <c r="K7" s="399"/>
      <c r="L7" s="400"/>
      <c r="M7" s="372"/>
      <c r="N7" s="372"/>
      <c r="O7" s="372"/>
      <c r="P7" s="372"/>
      <c r="Q7" s="400"/>
      <c r="R7" s="428"/>
      <c r="S7" s="427"/>
      <c r="T7" s="400"/>
      <c r="U7" s="400"/>
      <c r="V7" s="400"/>
      <c r="W7" s="372"/>
      <c r="X7" s="372"/>
      <c r="Y7" s="372"/>
      <c r="Z7" s="372"/>
      <c r="AA7" s="372"/>
      <c r="AB7" s="372"/>
      <c r="AC7" s="400"/>
      <c r="AD7" s="428"/>
      <c r="AE7" s="427"/>
      <c r="AF7" s="400"/>
      <c r="AG7" s="400"/>
      <c r="AH7" s="400"/>
      <c r="AI7" s="372"/>
      <c r="AJ7" s="372"/>
      <c r="AK7" s="372"/>
      <c r="AL7" s="372"/>
      <c r="AM7" s="372"/>
      <c r="AN7" s="372"/>
      <c r="AO7" s="400">
        <v>38152.52</v>
      </c>
      <c r="AP7" s="428">
        <v>109229.26</v>
      </c>
      <c r="AQ7" s="427">
        <v>336840</v>
      </c>
      <c r="AR7" s="400">
        <v>124308.89</v>
      </c>
      <c r="AS7" s="400">
        <v>61170.2</v>
      </c>
      <c r="AT7" s="400">
        <v>66118.66</v>
      </c>
      <c r="AU7" s="372"/>
      <c r="AV7" s="372"/>
      <c r="AW7" s="372"/>
      <c r="AX7" s="372"/>
      <c r="AY7" s="372"/>
      <c r="AZ7" s="372"/>
      <c r="BA7" s="372">
        <f>-(AO7+AP7+AQ7+AR7+AS7+AT7)</f>
        <v>-735819.53</v>
      </c>
      <c r="BB7" s="441"/>
      <c r="BC7" s="137"/>
      <c r="BD7" s="190"/>
      <c r="BE7" s="190"/>
    </row>
    <row r="8" spans="1:59" s="8" customFormat="1" ht="13.5">
      <c r="A8" s="203"/>
      <c r="B8" s="163"/>
      <c r="C8" s="276"/>
      <c r="D8" s="362"/>
      <c r="E8" s="304"/>
      <c r="F8" s="413"/>
      <c r="G8" s="429"/>
      <c r="H8" s="401"/>
      <c r="I8" s="401"/>
      <c r="J8" s="401"/>
      <c r="K8" s="401"/>
      <c r="L8" s="401"/>
      <c r="M8" s="48"/>
      <c r="N8" s="48"/>
      <c r="O8" s="48"/>
      <c r="P8" s="48"/>
      <c r="Q8" s="401"/>
      <c r="R8" s="430"/>
      <c r="S8" s="429"/>
      <c r="T8" s="401"/>
      <c r="U8" s="401"/>
      <c r="V8" s="401"/>
      <c r="W8" s="48"/>
      <c r="X8" s="48"/>
      <c r="Y8" s="48"/>
      <c r="Z8" s="48"/>
      <c r="AA8" s="48"/>
      <c r="AB8" s="48"/>
      <c r="AC8" s="401"/>
      <c r="AD8" s="430"/>
      <c r="AE8" s="429"/>
      <c r="AF8" s="401"/>
      <c r="AG8" s="401"/>
      <c r="AH8" s="401"/>
      <c r="AI8" s="48"/>
      <c r="AJ8" s="48"/>
      <c r="AK8" s="48"/>
      <c r="AL8" s="48"/>
      <c r="AM8" s="48"/>
      <c r="AN8" s="48"/>
      <c r="AO8" s="401"/>
      <c r="AP8" s="430"/>
      <c r="AQ8" s="429"/>
      <c r="AR8" s="401"/>
      <c r="AS8" s="401"/>
      <c r="AT8" s="401"/>
      <c r="AU8" s="48"/>
      <c r="AV8" s="48"/>
      <c r="AW8" s="48"/>
      <c r="AX8" s="48"/>
      <c r="AY8" s="48"/>
      <c r="AZ8" s="48"/>
      <c r="BA8" s="48"/>
      <c r="BB8" s="52"/>
      <c r="BC8" s="137"/>
      <c r="BD8" s="190"/>
      <c r="BE8" s="529" t="s">
        <v>211</v>
      </c>
      <c r="BF8" s="529"/>
      <c r="BG8" s="333" t="e">
        <f>BG2-BG3</f>
        <v>#REF!</v>
      </c>
    </row>
    <row r="9" spans="1:60" s="8" customFormat="1" ht="14.25" thickBot="1">
      <c r="A9" s="203"/>
      <c r="B9" s="163"/>
      <c r="C9" s="276"/>
      <c r="D9" s="362"/>
      <c r="E9" s="304"/>
      <c r="F9" s="414"/>
      <c r="G9" s="431"/>
      <c r="H9" s="432"/>
      <c r="I9" s="432"/>
      <c r="J9" s="432"/>
      <c r="K9" s="432"/>
      <c r="L9" s="432"/>
      <c r="M9" s="433"/>
      <c r="N9" s="433"/>
      <c r="O9" s="433"/>
      <c r="P9" s="433"/>
      <c r="Q9" s="432"/>
      <c r="R9" s="434"/>
      <c r="S9" s="431"/>
      <c r="T9" s="432"/>
      <c r="U9" s="432"/>
      <c r="V9" s="432"/>
      <c r="W9" s="433"/>
      <c r="X9" s="433"/>
      <c r="Y9" s="433"/>
      <c r="Z9" s="433"/>
      <c r="AA9" s="433"/>
      <c r="AB9" s="433"/>
      <c r="AC9" s="432"/>
      <c r="AD9" s="434"/>
      <c r="AE9" s="431"/>
      <c r="AF9" s="432"/>
      <c r="AG9" s="432"/>
      <c r="AH9" s="432"/>
      <c r="AI9" s="433"/>
      <c r="AJ9" s="433"/>
      <c r="AK9" s="433"/>
      <c r="AL9" s="433"/>
      <c r="AM9" s="433"/>
      <c r="AN9" s="433"/>
      <c r="AO9" s="432"/>
      <c r="AP9" s="434"/>
      <c r="AQ9" s="431"/>
      <c r="AR9" s="432"/>
      <c r="AS9" s="432"/>
      <c r="AT9" s="432"/>
      <c r="AU9" s="433"/>
      <c r="AV9" s="433"/>
      <c r="AW9" s="433"/>
      <c r="AX9" s="433"/>
      <c r="AY9" s="433"/>
      <c r="AZ9" s="433"/>
      <c r="BA9" s="433"/>
      <c r="BB9" s="442"/>
      <c r="BC9" s="137"/>
      <c r="BD9" s="190"/>
      <c r="BE9" s="530" t="s">
        <v>212</v>
      </c>
      <c r="BF9" s="531"/>
      <c r="BG9" s="339" t="e">
        <f>BG8-BF12</f>
        <v>#REF!</v>
      </c>
      <c r="BH9" s="394" t="e">
        <f>BG9/BG2</f>
        <v>#REF!</v>
      </c>
    </row>
    <row r="10" spans="1:60" s="9" customFormat="1" ht="14.25" thickBot="1">
      <c r="A10" s="204"/>
      <c r="B10" s="168" t="s">
        <v>105</v>
      </c>
      <c r="C10" s="169"/>
      <c r="D10" s="301"/>
      <c r="E10" s="305"/>
      <c r="F10" s="317"/>
      <c r="G10" s="415" t="s">
        <v>217</v>
      </c>
      <c r="H10" s="416"/>
      <c r="I10" s="417">
        <v>0.3</v>
      </c>
      <c r="J10" s="209"/>
      <c r="K10" s="209"/>
      <c r="L10" s="390"/>
      <c r="M10" s="209"/>
      <c r="N10" s="209"/>
      <c r="O10" s="209"/>
      <c r="P10" s="209"/>
      <c r="Q10" s="209"/>
      <c r="R10" s="328"/>
      <c r="S10" s="170"/>
      <c r="T10" s="170"/>
      <c r="U10" s="170"/>
      <c r="V10" s="170"/>
      <c r="W10" s="170"/>
      <c r="X10" s="170"/>
      <c r="Y10" s="170"/>
      <c r="Z10" s="170"/>
      <c r="AA10" s="170"/>
      <c r="AB10" s="170"/>
      <c r="AC10" s="170"/>
      <c r="AD10" s="170"/>
      <c r="AE10" s="209"/>
      <c r="AF10" s="209"/>
      <c r="AG10" s="209"/>
      <c r="AH10" s="209"/>
      <c r="AI10" s="209"/>
      <c r="AJ10" s="209"/>
      <c r="AK10" s="209"/>
      <c r="AL10" s="209"/>
      <c r="AM10" s="209"/>
      <c r="AN10" s="209"/>
      <c r="AO10" s="209"/>
      <c r="AP10" s="209"/>
      <c r="AQ10" s="170"/>
      <c r="AR10" s="170"/>
      <c r="AS10" s="170"/>
      <c r="AT10" s="170"/>
      <c r="AU10" s="170"/>
      <c r="AV10" s="170"/>
      <c r="AW10" s="170"/>
      <c r="AX10" s="170"/>
      <c r="AY10" s="170"/>
      <c r="AZ10" s="170"/>
      <c r="BA10" s="170"/>
      <c r="BB10" s="170"/>
      <c r="BC10" s="131"/>
      <c r="BD10" s="191"/>
      <c r="BE10" s="191"/>
      <c r="BH10" s="9" t="s">
        <v>173</v>
      </c>
    </row>
    <row r="11" spans="1:60" s="6" customFormat="1" ht="18">
      <c r="A11" s="527"/>
      <c r="B11" s="525" t="s">
        <v>151</v>
      </c>
      <c r="C11" s="512" t="s">
        <v>65</v>
      </c>
      <c r="D11" s="510" t="s">
        <v>66</v>
      </c>
      <c r="E11" s="517" t="s">
        <v>194</v>
      </c>
      <c r="F11" s="519" t="s">
        <v>195</v>
      </c>
      <c r="G11" s="514">
        <v>2012</v>
      </c>
      <c r="H11" s="515"/>
      <c r="I11" s="515"/>
      <c r="J11" s="515"/>
      <c r="K11" s="515"/>
      <c r="L11" s="515"/>
      <c r="M11" s="515"/>
      <c r="N11" s="515"/>
      <c r="O11" s="515"/>
      <c r="P11" s="515"/>
      <c r="Q11" s="515"/>
      <c r="R11" s="516"/>
      <c r="S11" s="507">
        <v>2013</v>
      </c>
      <c r="T11" s="508"/>
      <c r="U11" s="508"/>
      <c r="V11" s="508"/>
      <c r="W11" s="508"/>
      <c r="X11" s="508"/>
      <c r="Y11" s="508"/>
      <c r="Z11" s="508"/>
      <c r="AA11" s="508"/>
      <c r="AB11" s="508"/>
      <c r="AC11" s="508"/>
      <c r="AD11" s="521"/>
      <c r="AE11" s="514">
        <v>2014</v>
      </c>
      <c r="AF11" s="515"/>
      <c r="AG11" s="515"/>
      <c r="AH11" s="515"/>
      <c r="AI11" s="515"/>
      <c r="AJ11" s="515"/>
      <c r="AK11" s="515"/>
      <c r="AL11" s="515"/>
      <c r="AM11" s="515"/>
      <c r="AN11" s="515"/>
      <c r="AO11" s="515"/>
      <c r="AP11" s="516"/>
      <c r="AQ11" s="507">
        <v>2015</v>
      </c>
      <c r="AR11" s="508"/>
      <c r="AS11" s="508"/>
      <c r="AT11" s="508"/>
      <c r="AU11" s="508"/>
      <c r="AV11" s="508"/>
      <c r="AW11" s="508"/>
      <c r="AX11" s="508"/>
      <c r="AY11" s="508"/>
      <c r="AZ11" s="508"/>
      <c r="BA11" s="508"/>
      <c r="BB11" s="509"/>
      <c r="BC11" s="443"/>
      <c r="BD11" s="187"/>
      <c r="BE11" s="191"/>
      <c r="BF11" s="337" t="s">
        <v>163</v>
      </c>
      <c r="BG11" s="334">
        <v>0.9</v>
      </c>
      <c r="BH11" s="334">
        <v>0.1</v>
      </c>
    </row>
    <row r="12" spans="1:60" ht="14.25">
      <c r="A12" s="527"/>
      <c r="B12" s="526"/>
      <c r="C12" s="513"/>
      <c r="D12" s="511"/>
      <c r="E12" s="518"/>
      <c r="F12" s="520"/>
      <c r="G12" s="377">
        <v>1</v>
      </c>
      <c r="H12" s="378">
        <v>2</v>
      </c>
      <c r="I12" s="378">
        <v>3</v>
      </c>
      <c r="J12" s="378">
        <v>4</v>
      </c>
      <c r="K12" s="378">
        <v>5</v>
      </c>
      <c r="L12" s="378">
        <v>6</v>
      </c>
      <c r="M12" s="13">
        <v>7</v>
      </c>
      <c r="N12" s="13">
        <v>8</v>
      </c>
      <c r="O12" s="13">
        <v>9</v>
      </c>
      <c r="P12" s="13">
        <v>10</v>
      </c>
      <c r="Q12" s="378">
        <v>11</v>
      </c>
      <c r="R12" s="382">
        <v>12</v>
      </c>
      <c r="S12" s="383">
        <v>1</v>
      </c>
      <c r="T12" s="378">
        <v>2</v>
      </c>
      <c r="U12" s="378">
        <v>3</v>
      </c>
      <c r="V12" s="378">
        <v>4</v>
      </c>
      <c r="W12" s="13">
        <v>5</v>
      </c>
      <c r="X12" s="13">
        <v>6</v>
      </c>
      <c r="Y12" s="13">
        <v>7</v>
      </c>
      <c r="Z12" s="13">
        <v>8</v>
      </c>
      <c r="AA12" s="13">
        <v>9</v>
      </c>
      <c r="AB12" s="13">
        <v>10</v>
      </c>
      <c r="AC12" s="378">
        <v>11</v>
      </c>
      <c r="AD12" s="386">
        <v>12</v>
      </c>
      <c r="AE12" s="377">
        <v>1</v>
      </c>
      <c r="AF12" s="378">
        <v>2</v>
      </c>
      <c r="AG12" s="378">
        <v>3</v>
      </c>
      <c r="AH12" s="378">
        <v>4</v>
      </c>
      <c r="AI12" s="13">
        <v>5</v>
      </c>
      <c r="AJ12" s="13">
        <v>6</v>
      </c>
      <c r="AK12" s="13">
        <v>7</v>
      </c>
      <c r="AL12" s="13">
        <v>8</v>
      </c>
      <c r="AM12" s="13">
        <v>9</v>
      </c>
      <c r="AN12" s="13">
        <v>10</v>
      </c>
      <c r="AO12" s="378">
        <v>11</v>
      </c>
      <c r="AP12" s="382">
        <v>12</v>
      </c>
      <c r="AQ12" s="383">
        <v>1</v>
      </c>
      <c r="AR12" s="378">
        <v>2</v>
      </c>
      <c r="AS12" s="378">
        <v>3</v>
      </c>
      <c r="AT12" s="378">
        <v>4</v>
      </c>
      <c r="AU12" s="13">
        <v>5</v>
      </c>
      <c r="AV12" s="13">
        <v>6</v>
      </c>
      <c r="AW12" s="14">
        <v>7</v>
      </c>
      <c r="AX12" s="38" t="s">
        <v>110</v>
      </c>
      <c r="AY12" s="14">
        <v>9</v>
      </c>
      <c r="AZ12" s="13">
        <v>10</v>
      </c>
      <c r="BA12" s="13">
        <v>11</v>
      </c>
      <c r="BB12" s="15">
        <v>12</v>
      </c>
      <c r="BC12" s="443"/>
      <c r="BE12" s="191"/>
      <c r="BF12" s="335">
        <v>501009</v>
      </c>
      <c r="BG12" s="335">
        <f>BF12*0.9</f>
        <v>450908.10000000003</v>
      </c>
      <c r="BH12" s="335">
        <f>BF12*0.1</f>
        <v>50100.9</v>
      </c>
    </row>
    <row r="13" spans="1:60" ht="14.25">
      <c r="A13" s="269"/>
      <c r="B13" s="268"/>
      <c r="C13" s="270" t="s">
        <v>201</v>
      </c>
      <c r="D13" s="373" t="e">
        <f>SUM(G13:BB13)</f>
        <v>#REF!</v>
      </c>
      <c r="E13" s="306"/>
      <c r="F13" s="340"/>
      <c r="G13" s="379" t="e">
        <f>#REF!</f>
        <v>#REF!</v>
      </c>
      <c r="H13" s="380" t="e">
        <f>#REF!</f>
        <v>#REF!</v>
      </c>
      <c r="I13" s="380" t="e">
        <f>#REF!</f>
        <v>#REF!</v>
      </c>
      <c r="J13" s="380" t="e">
        <f>#REF!</f>
        <v>#REF!</v>
      </c>
      <c r="K13" s="380" t="e">
        <f>#REF!</f>
        <v>#REF!</v>
      </c>
      <c r="L13" s="380" t="e">
        <f>#REF!</f>
        <v>#REF!</v>
      </c>
      <c r="M13" s="59" t="e">
        <f>#REF!</f>
        <v>#REF!</v>
      </c>
      <c r="N13" s="59" t="e">
        <f>#REF!</f>
        <v>#REF!</v>
      </c>
      <c r="O13" s="59" t="e">
        <f>#REF!</f>
        <v>#REF!</v>
      </c>
      <c r="P13" s="59" t="e">
        <f>#REF!</f>
        <v>#REF!</v>
      </c>
      <c r="Q13" s="380" t="e">
        <f>#REF!</f>
        <v>#REF!</v>
      </c>
      <c r="R13" s="384" t="e">
        <f>#REF!</f>
        <v>#REF!</v>
      </c>
      <c r="S13" s="385" t="e">
        <f>#REF!</f>
        <v>#REF!</v>
      </c>
      <c r="T13" s="380" t="e">
        <f>#REF!</f>
        <v>#REF!</v>
      </c>
      <c r="U13" s="380" t="e">
        <f>#REF!</f>
        <v>#REF!</v>
      </c>
      <c r="V13" s="380" t="e">
        <f>#REF!</f>
        <v>#REF!</v>
      </c>
      <c r="W13" s="59" t="e">
        <f>#REF!</f>
        <v>#REF!</v>
      </c>
      <c r="X13" s="59" t="e">
        <f>#REF!</f>
        <v>#REF!</v>
      </c>
      <c r="Y13" s="59" t="e">
        <f>#REF!</f>
        <v>#REF!</v>
      </c>
      <c r="Z13" s="59" t="e">
        <f>#REF!</f>
        <v>#REF!</v>
      </c>
      <c r="AA13" s="59" t="e">
        <f>#REF!</f>
        <v>#REF!</v>
      </c>
      <c r="AB13" s="59" t="e">
        <f>#REF!</f>
        <v>#REF!</v>
      </c>
      <c r="AC13" s="380" t="e">
        <f>#REF!</f>
        <v>#REF!</v>
      </c>
      <c r="AD13" s="387" t="e">
        <f>#REF!</f>
        <v>#REF!</v>
      </c>
      <c r="AE13" s="379" t="e">
        <f>#REF!</f>
        <v>#REF!</v>
      </c>
      <c r="AF13" s="380" t="e">
        <f>#REF!</f>
        <v>#REF!</v>
      </c>
      <c r="AG13" s="380" t="e">
        <f>#REF!</f>
        <v>#REF!</v>
      </c>
      <c r="AH13" s="380" t="e">
        <f>#REF!</f>
        <v>#REF!</v>
      </c>
      <c r="AI13" s="59" t="e">
        <f>#REF!</f>
        <v>#REF!</v>
      </c>
      <c r="AJ13" s="59" t="e">
        <f>#REF!</f>
        <v>#REF!</v>
      </c>
      <c r="AK13" s="59" t="e">
        <f>#REF!</f>
        <v>#REF!</v>
      </c>
      <c r="AL13" s="59" t="e">
        <f>#REF!</f>
        <v>#REF!</v>
      </c>
      <c r="AM13" s="59" t="e">
        <f>#REF!</f>
        <v>#REF!</v>
      </c>
      <c r="AN13" s="59" t="e">
        <f>#REF!</f>
        <v>#REF!</v>
      </c>
      <c r="AO13" s="380" t="e">
        <f>#REF!</f>
        <v>#REF!</v>
      </c>
      <c r="AP13" s="384" t="e">
        <f>#REF!</f>
        <v>#REF!</v>
      </c>
      <c r="AQ13" s="385" t="e">
        <f>#REF!</f>
        <v>#REF!</v>
      </c>
      <c r="AR13" s="380" t="e">
        <f>#REF!</f>
        <v>#REF!</v>
      </c>
      <c r="AS13" s="380" t="e">
        <f>#REF!</f>
        <v>#REF!</v>
      </c>
      <c r="AT13" s="380" t="e">
        <f>#REF!</f>
        <v>#REF!</v>
      </c>
      <c r="AU13" s="59" t="e">
        <f>#REF!</f>
        <v>#REF!</v>
      </c>
      <c r="AV13" s="59" t="e">
        <f>#REF!</f>
        <v>#REF!</v>
      </c>
      <c r="AW13" s="59" t="e">
        <f>#REF!</f>
        <v>#REF!</v>
      </c>
      <c r="AX13" s="59" t="e">
        <f>#REF!</f>
        <v>#REF!</v>
      </c>
      <c r="AY13" s="59" t="e">
        <f>#REF!</f>
        <v>#REF!</v>
      </c>
      <c r="AZ13" s="59" t="e">
        <f>#REF!</f>
        <v>#REF!</v>
      </c>
      <c r="BA13" s="59" t="e">
        <f>#REF!</f>
        <v>#REF!</v>
      </c>
      <c r="BB13" s="59" t="e">
        <f>#REF!</f>
        <v>#REF!</v>
      </c>
      <c r="BE13" s="191"/>
      <c r="BF13" s="336"/>
      <c r="BG13" s="335">
        <f>BG12/6</f>
        <v>75151.35</v>
      </c>
      <c r="BH13" s="335">
        <f>BH12/4</f>
        <v>12525.225</v>
      </c>
    </row>
    <row r="14" spans="1:60" ht="14.25">
      <c r="A14" s="269"/>
      <c r="B14" s="268"/>
      <c r="C14" s="270" t="s">
        <v>193</v>
      </c>
      <c r="D14" s="373"/>
      <c r="E14" s="306"/>
      <c r="F14" s="340"/>
      <c r="G14" s="381" t="e">
        <f>G15</f>
        <v>#REF!</v>
      </c>
      <c r="H14" s="380" t="e">
        <f>G14+H15</f>
        <v>#REF!</v>
      </c>
      <c r="I14" s="380" t="e">
        <f>H14+I15</f>
        <v>#REF!</v>
      </c>
      <c r="J14" s="380" t="e">
        <f aca="true" t="shared" si="3" ref="J14:R14">I14+J15</f>
        <v>#REF!</v>
      </c>
      <c r="K14" s="380" t="e">
        <f t="shared" si="3"/>
        <v>#REF!</v>
      </c>
      <c r="L14" s="395" t="e">
        <f t="shared" si="3"/>
        <v>#REF!</v>
      </c>
      <c r="M14" s="59" t="e">
        <f t="shared" si="3"/>
        <v>#REF!</v>
      </c>
      <c r="N14" s="59" t="e">
        <f t="shared" si="3"/>
        <v>#REF!</v>
      </c>
      <c r="O14" s="59" t="e">
        <f t="shared" si="3"/>
        <v>#REF!</v>
      </c>
      <c r="P14" s="59" t="e">
        <f t="shared" si="3"/>
        <v>#REF!</v>
      </c>
      <c r="Q14" s="380" t="e">
        <f t="shared" si="3"/>
        <v>#REF!</v>
      </c>
      <c r="R14" s="384" t="e">
        <f t="shared" si="3"/>
        <v>#REF!</v>
      </c>
      <c r="S14" s="385" t="e">
        <f aca="true" t="shared" si="4" ref="S14:AX14">R14+S15</f>
        <v>#REF!</v>
      </c>
      <c r="T14" s="380" t="e">
        <f t="shared" si="4"/>
        <v>#REF!</v>
      </c>
      <c r="U14" s="380" t="e">
        <f t="shared" si="4"/>
        <v>#REF!</v>
      </c>
      <c r="V14" s="380" t="e">
        <f t="shared" si="4"/>
        <v>#REF!</v>
      </c>
      <c r="W14" s="59" t="e">
        <f t="shared" si="4"/>
        <v>#REF!</v>
      </c>
      <c r="X14" s="59" t="e">
        <f t="shared" si="4"/>
        <v>#REF!</v>
      </c>
      <c r="Y14" s="59" t="e">
        <f t="shared" si="4"/>
        <v>#REF!</v>
      </c>
      <c r="Z14" s="59" t="e">
        <f t="shared" si="4"/>
        <v>#REF!</v>
      </c>
      <c r="AA14" s="59" t="e">
        <f t="shared" si="4"/>
        <v>#REF!</v>
      </c>
      <c r="AB14" s="59" t="e">
        <f t="shared" si="4"/>
        <v>#REF!</v>
      </c>
      <c r="AC14" s="380" t="e">
        <f t="shared" si="4"/>
        <v>#REF!</v>
      </c>
      <c r="AD14" s="387" t="e">
        <f t="shared" si="4"/>
        <v>#REF!</v>
      </c>
      <c r="AE14" s="379" t="e">
        <f t="shared" si="4"/>
        <v>#REF!</v>
      </c>
      <c r="AF14" s="380" t="e">
        <f t="shared" si="4"/>
        <v>#REF!</v>
      </c>
      <c r="AG14" s="380" t="e">
        <f t="shared" si="4"/>
        <v>#REF!</v>
      </c>
      <c r="AH14" s="380" t="e">
        <f t="shared" si="4"/>
        <v>#REF!</v>
      </c>
      <c r="AI14" s="59" t="e">
        <f t="shared" si="4"/>
        <v>#REF!</v>
      </c>
      <c r="AJ14" s="59" t="e">
        <f t="shared" si="4"/>
        <v>#REF!</v>
      </c>
      <c r="AK14" s="59" t="e">
        <f t="shared" si="4"/>
        <v>#REF!</v>
      </c>
      <c r="AL14" s="59" t="e">
        <f t="shared" si="4"/>
        <v>#REF!</v>
      </c>
      <c r="AM14" s="59" t="e">
        <f t="shared" si="4"/>
        <v>#REF!</v>
      </c>
      <c r="AN14" s="59" t="e">
        <f t="shared" si="4"/>
        <v>#REF!</v>
      </c>
      <c r="AO14" s="380" t="e">
        <f t="shared" si="4"/>
        <v>#REF!</v>
      </c>
      <c r="AP14" s="384" t="e">
        <f t="shared" si="4"/>
        <v>#REF!</v>
      </c>
      <c r="AQ14" s="385" t="e">
        <f t="shared" si="4"/>
        <v>#REF!</v>
      </c>
      <c r="AR14" s="380" t="e">
        <f t="shared" si="4"/>
        <v>#REF!</v>
      </c>
      <c r="AS14" s="380" t="e">
        <f t="shared" si="4"/>
        <v>#REF!</v>
      </c>
      <c r="AT14" s="380" t="e">
        <f t="shared" si="4"/>
        <v>#REF!</v>
      </c>
      <c r="AU14" s="59" t="e">
        <f t="shared" si="4"/>
        <v>#REF!</v>
      </c>
      <c r="AV14" s="59" t="e">
        <f t="shared" si="4"/>
        <v>#REF!</v>
      </c>
      <c r="AW14" s="59" t="e">
        <f t="shared" si="4"/>
        <v>#REF!</v>
      </c>
      <c r="AX14" s="59" t="e">
        <f t="shared" si="4"/>
        <v>#REF!</v>
      </c>
      <c r="AY14" s="14"/>
      <c r="AZ14" s="13"/>
      <c r="BA14" s="13"/>
      <c r="BB14" s="15"/>
      <c r="BE14" s="191"/>
      <c r="BF14" s="336"/>
      <c r="BG14" s="336" t="s">
        <v>202</v>
      </c>
      <c r="BH14" s="336" t="s">
        <v>203</v>
      </c>
    </row>
    <row r="15" spans="1:58" s="42" customFormat="1" ht="12.75">
      <c r="A15" s="171"/>
      <c r="B15" s="172"/>
      <c r="C15" s="173" t="s">
        <v>205</v>
      </c>
      <c r="D15" s="174" t="e">
        <f>SUM(G15:BB15)</f>
        <v>#REF!</v>
      </c>
      <c r="E15" s="307"/>
      <c r="F15" s="318"/>
      <c r="G15" s="349" t="e">
        <f>SUM(G16:G170)-G13</f>
        <v>#REF!</v>
      </c>
      <c r="H15" s="175" t="e">
        <f aca="true" t="shared" si="5" ref="H15:BB15">SUM(H16:H170)-H13</f>
        <v>#REF!</v>
      </c>
      <c r="I15" s="175" t="e">
        <f t="shared" si="5"/>
        <v>#REF!</v>
      </c>
      <c r="J15" s="175" t="e">
        <f t="shared" si="5"/>
        <v>#REF!</v>
      </c>
      <c r="K15" s="175" t="e">
        <f t="shared" si="5"/>
        <v>#REF!</v>
      </c>
      <c r="L15" s="175" t="e">
        <f t="shared" si="5"/>
        <v>#REF!</v>
      </c>
      <c r="M15" s="175" t="e">
        <f t="shared" si="5"/>
        <v>#REF!</v>
      </c>
      <c r="N15" s="175" t="e">
        <f t="shared" si="5"/>
        <v>#REF!</v>
      </c>
      <c r="O15" s="175" t="e">
        <f t="shared" si="5"/>
        <v>#REF!</v>
      </c>
      <c r="P15" s="175" t="e">
        <f t="shared" si="5"/>
        <v>#REF!</v>
      </c>
      <c r="Q15" s="175" t="e">
        <f t="shared" si="5"/>
        <v>#REF!</v>
      </c>
      <c r="R15" s="176" t="e">
        <f t="shared" si="5"/>
        <v>#REF!</v>
      </c>
      <c r="S15" s="177" t="e">
        <f t="shared" si="5"/>
        <v>#REF!</v>
      </c>
      <c r="T15" s="175" t="e">
        <f t="shared" si="5"/>
        <v>#REF!</v>
      </c>
      <c r="U15" s="175" t="e">
        <f t="shared" si="5"/>
        <v>#REF!</v>
      </c>
      <c r="V15" s="175" t="e">
        <f t="shared" si="5"/>
        <v>#REF!</v>
      </c>
      <c r="W15" s="175" t="e">
        <f t="shared" si="5"/>
        <v>#REF!</v>
      </c>
      <c r="X15" s="175" t="e">
        <f t="shared" si="5"/>
        <v>#REF!</v>
      </c>
      <c r="Y15" s="175" t="e">
        <f t="shared" si="5"/>
        <v>#REF!</v>
      </c>
      <c r="Z15" s="175" t="e">
        <f t="shared" si="5"/>
        <v>#REF!</v>
      </c>
      <c r="AA15" s="175" t="e">
        <f t="shared" si="5"/>
        <v>#REF!</v>
      </c>
      <c r="AB15" s="175" t="e">
        <f t="shared" si="5"/>
        <v>#REF!</v>
      </c>
      <c r="AC15" s="175" t="e">
        <f t="shared" si="5"/>
        <v>#REF!</v>
      </c>
      <c r="AD15" s="360" t="e">
        <f t="shared" si="5"/>
        <v>#REF!</v>
      </c>
      <c r="AE15" s="349" t="e">
        <f t="shared" si="5"/>
        <v>#REF!</v>
      </c>
      <c r="AF15" s="175" t="e">
        <f t="shared" si="5"/>
        <v>#REF!</v>
      </c>
      <c r="AG15" s="175" t="e">
        <f t="shared" si="5"/>
        <v>#REF!</v>
      </c>
      <c r="AH15" s="175" t="e">
        <f t="shared" si="5"/>
        <v>#REF!</v>
      </c>
      <c r="AI15" s="175" t="e">
        <f t="shared" si="5"/>
        <v>#REF!</v>
      </c>
      <c r="AJ15" s="175" t="e">
        <f t="shared" si="5"/>
        <v>#REF!</v>
      </c>
      <c r="AK15" s="175" t="e">
        <f t="shared" si="5"/>
        <v>#REF!</v>
      </c>
      <c r="AL15" s="175" t="e">
        <f t="shared" si="5"/>
        <v>#REF!</v>
      </c>
      <c r="AM15" s="175" t="e">
        <f t="shared" si="5"/>
        <v>#REF!</v>
      </c>
      <c r="AN15" s="175" t="e">
        <f t="shared" si="5"/>
        <v>#REF!</v>
      </c>
      <c r="AO15" s="175" t="e">
        <f t="shared" si="5"/>
        <v>#REF!</v>
      </c>
      <c r="AP15" s="176" t="e">
        <f t="shared" si="5"/>
        <v>#REF!</v>
      </c>
      <c r="AQ15" s="177" t="e">
        <f t="shared" si="5"/>
        <v>#REF!</v>
      </c>
      <c r="AR15" s="175" t="e">
        <f t="shared" si="5"/>
        <v>#REF!</v>
      </c>
      <c r="AS15" s="175" t="e">
        <f t="shared" si="5"/>
        <v>#REF!</v>
      </c>
      <c r="AT15" s="175" t="e">
        <f t="shared" si="5"/>
        <v>#REF!</v>
      </c>
      <c r="AU15" s="175" t="e">
        <f t="shared" si="5"/>
        <v>#REF!</v>
      </c>
      <c r="AV15" s="175" t="e">
        <f t="shared" si="5"/>
        <v>#REF!</v>
      </c>
      <c r="AW15" s="175" t="e">
        <f t="shared" si="5"/>
        <v>#REF!</v>
      </c>
      <c r="AX15" s="175" t="e">
        <f t="shared" si="5"/>
        <v>#REF!</v>
      </c>
      <c r="AY15" s="175" t="e">
        <f t="shared" si="5"/>
        <v>#REF!</v>
      </c>
      <c r="AZ15" s="175" t="e">
        <f t="shared" si="5"/>
        <v>#REF!</v>
      </c>
      <c r="BA15" s="175" t="e">
        <f t="shared" si="5"/>
        <v>#REF!</v>
      </c>
      <c r="BB15" s="175" t="e">
        <f t="shared" si="5"/>
        <v>#REF!</v>
      </c>
      <c r="BC15" s="178"/>
      <c r="BD15" s="189"/>
      <c r="BE15" s="189"/>
      <c r="BF15" s="179"/>
    </row>
    <row r="16" spans="1:58" s="42" customFormat="1" ht="15">
      <c r="A16" s="171"/>
      <c r="B16" s="271"/>
      <c r="C16" s="290" t="s">
        <v>163</v>
      </c>
      <c r="D16" s="291">
        <f>SUM(G16:BB16)</f>
        <v>501008.9999999999</v>
      </c>
      <c r="E16" s="308"/>
      <c r="F16" s="319"/>
      <c r="G16" s="350">
        <v>75151.35</v>
      </c>
      <c r="H16" s="287">
        <v>75151.35</v>
      </c>
      <c r="I16" s="287">
        <v>75151.35</v>
      </c>
      <c r="J16" s="287">
        <v>75151.35</v>
      </c>
      <c r="K16" s="287">
        <v>75151.35</v>
      </c>
      <c r="L16" s="287">
        <v>75151.35</v>
      </c>
      <c r="M16" s="287">
        <v>0</v>
      </c>
      <c r="N16" s="287">
        <v>0</v>
      </c>
      <c r="O16" s="287">
        <v>0</v>
      </c>
      <c r="P16" s="287">
        <v>0</v>
      </c>
      <c r="Q16" s="287">
        <v>0</v>
      </c>
      <c r="R16" s="351">
        <v>0</v>
      </c>
      <c r="S16" s="348">
        <v>0</v>
      </c>
      <c r="T16" s="287">
        <v>0</v>
      </c>
      <c r="U16" s="287">
        <v>0</v>
      </c>
      <c r="V16" s="287">
        <v>0</v>
      </c>
      <c r="W16" s="287">
        <v>0</v>
      </c>
      <c r="X16" s="287">
        <v>0</v>
      </c>
      <c r="Y16" s="287">
        <v>0</v>
      </c>
      <c r="Z16" s="287">
        <v>0</v>
      </c>
      <c r="AA16" s="287">
        <v>0</v>
      </c>
      <c r="AB16" s="287">
        <v>0</v>
      </c>
      <c r="AC16" s="287">
        <v>0</v>
      </c>
      <c r="AD16" s="361">
        <v>0</v>
      </c>
      <c r="AE16" s="350">
        <v>0</v>
      </c>
      <c r="AF16" s="287">
        <v>0</v>
      </c>
      <c r="AG16" s="287">
        <v>0</v>
      </c>
      <c r="AH16" s="287">
        <v>0</v>
      </c>
      <c r="AI16" s="287">
        <v>0</v>
      </c>
      <c r="AJ16" s="287">
        <v>0</v>
      </c>
      <c r="AK16" s="287">
        <v>0</v>
      </c>
      <c r="AL16" s="287">
        <v>0</v>
      </c>
      <c r="AM16" s="287">
        <v>0</v>
      </c>
      <c r="AN16" s="287">
        <v>0</v>
      </c>
      <c r="AO16" s="287">
        <v>0</v>
      </c>
      <c r="AP16" s="351">
        <v>0</v>
      </c>
      <c r="AQ16" s="348">
        <v>0</v>
      </c>
      <c r="AR16" s="287">
        <v>0</v>
      </c>
      <c r="AS16" s="287">
        <v>0</v>
      </c>
      <c r="AT16" s="287">
        <v>0</v>
      </c>
      <c r="AU16" s="287">
        <v>12525.225</v>
      </c>
      <c r="AV16" s="287">
        <v>12525.225</v>
      </c>
      <c r="AW16" s="287">
        <v>12525.225</v>
      </c>
      <c r="AX16" s="287">
        <v>12525.225</v>
      </c>
      <c r="AY16" s="288"/>
      <c r="AZ16" s="288"/>
      <c r="BA16" s="288"/>
      <c r="BB16" s="289"/>
      <c r="BC16" s="178"/>
      <c r="BD16" s="189"/>
      <c r="BE16" s="189"/>
      <c r="BF16" s="179"/>
    </row>
    <row r="17" spans="1:57" s="6" customFormat="1" ht="14.25">
      <c r="A17" s="122"/>
      <c r="B17" s="17" t="s">
        <v>114</v>
      </c>
      <c r="C17" s="30"/>
      <c r="D17" s="157"/>
      <c r="E17" s="309"/>
      <c r="F17" s="320"/>
      <c r="G17" s="352"/>
      <c r="H17" s="53"/>
      <c r="I17" s="53"/>
      <c r="J17" s="54"/>
      <c r="K17" s="54"/>
      <c r="L17" s="54"/>
      <c r="M17" s="54"/>
      <c r="N17" s="54"/>
      <c r="O17" s="54"/>
      <c r="P17" s="54"/>
      <c r="Q17" s="54"/>
      <c r="R17" s="55"/>
      <c r="S17" s="145"/>
      <c r="T17" s="54"/>
      <c r="U17" s="54"/>
      <c r="V17" s="54"/>
      <c r="W17" s="54"/>
      <c r="X17" s="54"/>
      <c r="Y17" s="54"/>
      <c r="Z17" s="54"/>
      <c r="AA17" s="54"/>
      <c r="AB17" s="54"/>
      <c r="AC17" s="54"/>
      <c r="AD17" s="132"/>
      <c r="AE17" s="56"/>
      <c r="AF17" s="54"/>
      <c r="AG17" s="54"/>
      <c r="AH17" s="54"/>
      <c r="AI17" s="54"/>
      <c r="AJ17" s="54"/>
      <c r="AK17" s="54"/>
      <c r="AL17" s="54"/>
      <c r="AM17" s="54"/>
      <c r="AN17" s="54"/>
      <c r="AO17" s="54"/>
      <c r="AP17" s="55"/>
      <c r="AQ17" s="145"/>
      <c r="AR17" s="54"/>
      <c r="AS17" s="54"/>
      <c r="AT17" s="54"/>
      <c r="AU17" s="54"/>
      <c r="AV17" s="54"/>
      <c r="AW17" s="54"/>
      <c r="AX17" s="44"/>
      <c r="AY17" s="54"/>
      <c r="AZ17" s="54"/>
      <c r="BA17" s="54"/>
      <c r="BB17" s="55"/>
      <c r="BC17" s="192"/>
      <c r="BD17" s="187"/>
      <c r="BE17" s="191"/>
    </row>
    <row r="18" spans="1:58" s="6" customFormat="1" ht="48">
      <c r="A18" s="109" t="s">
        <v>107</v>
      </c>
      <c r="B18" s="20">
        <v>1.2</v>
      </c>
      <c r="C18" s="32" t="s">
        <v>166</v>
      </c>
      <c r="D18" s="162">
        <v>738786</v>
      </c>
      <c r="E18" s="314">
        <f>22*D18/122</f>
        <v>133223.70491803277</v>
      </c>
      <c r="F18" s="341">
        <v>0.9586</v>
      </c>
      <c r="G18" s="47"/>
      <c r="H18" s="48"/>
      <c r="I18" s="48"/>
      <c r="J18" s="48"/>
      <c r="K18" s="48"/>
      <c r="L18" s="48"/>
      <c r="M18" s="48"/>
      <c r="N18" s="48"/>
      <c r="O18" s="48"/>
      <c r="P18" s="48"/>
      <c r="Q18" s="48"/>
      <c r="R18" s="52"/>
      <c r="S18" s="144"/>
      <c r="T18" s="48"/>
      <c r="U18" s="107"/>
      <c r="V18" s="107"/>
      <c r="W18" s="107"/>
      <c r="X18" s="107"/>
      <c r="Y18" s="396">
        <f>D18*0.2</f>
        <v>147757.2</v>
      </c>
      <c r="Z18" s="49"/>
      <c r="AA18" s="49"/>
      <c r="AB18" s="49"/>
      <c r="AC18" s="49"/>
      <c r="AD18" s="256"/>
      <c r="AE18" s="51"/>
      <c r="AF18" s="49"/>
      <c r="AG18" s="49">
        <f>D18*0.4</f>
        <v>295514.4</v>
      </c>
      <c r="AH18" s="49"/>
      <c r="AI18" s="49"/>
      <c r="AJ18" s="49"/>
      <c r="AK18" s="49"/>
      <c r="AL18" s="49"/>
      <c r="AM18" s="49"/>
      <c r="AN18" s="48">
        <f>D18-AG18-Y18</f>
        <v>295514.39999999997</v>
      </c>
      <c r="AO18" s="48"/>
      <c r="AP18" s="52"/>
      <c r="AQ18" s="144"/>
      <c r="AR18" s="48"/>
      <c r="AS18" s="48"/>
      <c r="AT18" s="48"/>
      <c r="AU18" s="48"/>
      <c r="AV18" s="48"/>
      <c r="AW18" s="48"/>
      <c r="AX18" s="44"/>
      <c r="AY18" s="48"/>
      <c r="AZ18" s="48"/>
      <c r="BA18" s="48"/>
      <c r="BB18" s="52"/>
      <c r="BC18" s="138"/>
      <c r="BD18" s="187"/>
      <c r="BE18" s="191">
        <f>SUM(G18:BB18)</f>
        <v>738786</v>
      </c>
      <c r="BF18" s="201">
        <f>BE18-D18</f>
        <v>0</v>
      </c>
    </row>
    <row r="19" spans="1:60" s="6" customFormat="1" ht="14.25">
      <c r="A19" s="109"/>
      <c r="B19" s="20">
        <v>1.2</v>
      </c>
      <c r="C19" s="29" t="s">
        <v>165</v>
      </c>
      <c r="D19" s="156">
        <v>8588</v>
      </c>
      <c r="E19" s="314">
        <f aca="true" t="shared" si="6" ref="E19:E81">22*D19/122</f>
        <v>1548.655737704918</v>
      </c>
      <c r="F19" s="341">
        <v>0.9809</v>
      </c>
      <c r="G19" s="47"/>
      <c r="H19" s="48"/>
      <c r="I19" s="48"/>
      <c r="J19" s="48"/>
      <c r="K19" s="48"/>
      <c r="L19" s="48"/>
      <c r="M19" s="48"/>
      <c r="N19" s="48"/>
      <c r="O19" s="48"/>
      <c r="P19" s="48"/>
      <c r="Q19" s="48"/>
      <c r="R19" s="52"/>
      <c r="S19" s="144"/>
      <c r="T19" s="48"/>
      <c r="U19" s="107"/>
      <c r="V19" s="107"/>
      <c r="W19" s="107"/>
      <c r="X19" s="107"/>
      <c r="Y19" s="396">
        <f>$D$19/15</f>
        <v>572.5333333333333</v>
      </c>
      <c r="Z19" s="49">
        <f aca="true" t="shared" si="7" ref="Z19:AM19">$D$19/15</f>
        <v>572.5333333333333</v>
      </c>
      <c r="AA19" s="49">
        <f t="shared" si="7"/>
        <v>572.5333333333333</v>
      </c>
      <c r="AB19" s="49">
        <f t="shared" si="7"/>
        <v>572.5333333333333</v>
      </c>
      <c r="AC19" s="49">
        <f t="shared" si="7"/>
        <v>572.5333333333333</v>
      </c>
      <c r="AD19" s="256">
        <f t="shared" si="7"/>
        <v>572.5333333333333</v>
      </c>
      <c r="AE19" s="51">
        <f t="shared" si="7"/>
        <v>572.5333333333333</v>
      </c>
      <c r="AF19" s="49">
        <f t="shared" si="7"/>
        <v>572.5333333333333</v>
      </c>
      <c r="AG19" s="49">
        <f t="shared" si="7"/>
        <v>572.5333333333333</v>
      </c>
      <c r="AH19" s="49">
        <f t="shared" si="7"/>
        <v>572.5333333333333</v>
      </c>
      <c r="AI19" s="49">
        <f t="shared" si="7"/>
        <v>572.5333333333333</v>
      </c>
      <c r="AJ19" s="49">
        <f t="shared" si="7"/>
        <v>572.5333333333333</v>
      </c>
      <c r="AK19" s="49">
        <f t="shared" si="7"/>
        <v>572.5333333333333</v>
      </c>
      <c r="AL19" s="49">
        <f t="shared" si="7"/>
        <v>572.5333333333333</v>
      </c>
      <c r="AM19" s="49">
        <f t="shared" si="7"/>
        <v>572.5333333333333</v>
      </c>
      <c r="AN19" s="48"/>
      <c r="AO19" s="48"/>
      <c r="AP19" s="52"/>
      <c r="AQ19" s="144"/>
      <c r="AR19" s="48"/>
      <c r="AS19" s="48"/>
      <c r="AT19" s="48"/>
      <c r="AU19" s="48"/>
      <c r="AV19" s="48"/>
      <c r="AW19" s="48"/>
      <c r="AX19" s="44"/>
      <c r="AY19" s="48"/>
      <c r="AZ19" s="48"/>
      <c r="BA19" s="48"/>
      <c r="BB19" s="52"/>
      <c r="BC19" s="138"/>
      <c r="BD19" s="187"/>
      <c r="BE19" s="191">
        <f aca="true" t="shared" si="8" ref="BE19:BE82">SUM(G19:BB19)</f>
        <v>8587.999999999996</v>
      </c>
      <c r="BF19" s="201">
        <f aca="true" t="shared" si="9" ref="BF19:BF82">BE19-D19</f>
        <v>0</v>
      </c>
      <c r="BG19" s="6" t="s">
        <v>171</v>
      </c>
      <c r="BH19" s="6" t="s">
        <v>170</v>
      </c>
    </row>
    <row r="20" spans="1:60" s="6" customFormat="1" ht="14.25">
      <c r="A20" s="122" t="s">
        <v>124</v>
      </c>
      <c r="B20" s="17" t="s">
        <v>113</v>
      </c>
      <c r="C20" s="30"/>
      <c r="D20" s="157"/>
      <c r="E20" s="315"/>
      <c r="F20" s="342"/>
      <c r="G20" s="352"/>
      <c r="H20" s="53"/>
      <c r="I20" s="53"/>
      <c r="J20" s="54"/>
      <c r="K20" s="54"/>
      <c r="L20" s="54"/>
      <c r="M20" s="54"/>
      <c r="N20" s="54"/>
      <c r="O20" s="54"/>
      <c r="P20" s="54"/>
      <c r="Q20" s="54"/>
      <c r="R20" s="55"/>
      <c r="S20" s="145"/>
      <c r="T20" s="54"/>
      <c r="U20" s="54"/>
      <c r="V20" s="54"/>
      <c r="W20" s="54"/>
      <c r="X20" s="54"/>
      <c r="Y20" s="54"/>
      <c r="Z20" s="54"/>
      <c r="AA20" s="54"/>
      <c r="AB20" s="54"/>
      <c r="AC20" s="54"/>
      <c r="AD20" s="132"/>
      <c r="AE20" s="56"/>
      <c r="AF20" s="54"/>
      <c r="AG20" s="54"/>
      <c r="AH20" s="54"/>
      <c r="AI20" s="54"/>
      <c r="AJ20" s="54"/>
      <c r="AK20" s="54"/>
      <c r="AL20" s="54"/>
      <c r="AM20" s="54"/>
      <c r="AN20" s="54"/>
      <c r="AO20" s="54"/>
      <c r="AP20" s="55"/>
      <c r="AQ20" s="145"/>
      <c r="AR20" s="54"/>
      <c r="AS20" s="54"/>
      <c r="AT20" s="54"/>
      <c r="AU20" s="54"/>
      <c r="AV20" s="54"/>
      <c r="AW20" s="54"/>
      <c r="AX20" s="44"/>
      <c r="AY20" s="54"/>
      <c r="AZ20" s="54"/>
      <c r="BA20" s="54"/>
      <c r="BB20" s="55"/>
      <c r="BC20" s="192"/>
      <c r="BD20" s="187"/>
      <c r="BE20" s="191">
        <f t="shared" si="8"/>
        <v>0</v>
      </c>
      <c r="BF20" s="201">
        <f t="shared" si="9"/>
        <v>0</v>
      </c>
      <c r="BH20" s="6" t="s">
        <v>172</v>
      </c>
    </row>
    <row r="21" spans="1:58" s="2" customFormat="1" ht="60">
      <c r="A21" s="123" t="s">
        <v>125</v>
      </c>
      <c r="B21" s="12">
        <v>2.1</v>
      </c>
      <c r="C21" s="293" t="s">
        <v>109</v>
      </c>
      <c r="D21" s="162">
        <v>130000</v>
      </c>
      <c r="E21" s="314">
        <f t="shared" si="6"/>
        <v>23442.622950819674</v>
      </c>
      <c r="F21" s="341">
        <v>1</v>
      </c>
      <c r="G21" s="58"/>
      <c r="H21" s="59"/>
      <c r="I21" s="59"/>
      <c r="J21" s="59"/>
      <c r="K21" s="59"/>
      <c r="L21" s="59"/>
      <c r="M21" s="59"/>
      <c r="N21" s="59"/>
      <c r="O21" s="59"/>
      <c r="P21" s="59"/>
      <c r="Q21" s="59"/>
      <c r="R21" s="60"/>
      <c r="S21" s="147"/>
      <c r="T21" s="59"/>
      <c r="U21" s="59"/>
      <c r="V21" s="59"/>
      <c r="W21" s="59"/>
      <c r="X21" s="59"/>
      <c r="Y21" s="59"/>
      <c r="Z21" s="59"/>
      <c r="AA21" s="59"/>
      <c r="AB21" s="59"/>
      <c r="AC21" s="59"/>
      <c r="AD21" s="133"/>
      <c r="AE21" s="58"/>
      <c r="AF21" s="59"/>
      <c r="AG21" s="59"/>
      <c r="AH21" s="107"/>
      <c r="AI21" s="107"/>
      <c r="AJ21" s="107"/>
      <c r="AK21" s="66">
        <f>D21*I10</f>
        <v>39000</v>
      </c>
      <c r="AL21" s="66"/>
      <c r="AM21" s="66"/>
      <c r="AN21" s="66" t="s">
        <v>64</v>
      </c>
      <c r="AO21" s="66"/>
      <c r="AP21" s="67"/>
      <c r="AQ21" s="206"/>
      <c r="AR21" s="59">
        <f>D21-AK21</f>
        <v>91000</v>
      </c>
      <c r="AS21" s="46"/>
      <c r="AT21" s="46"/>
      <c r="AU21" s="46"/>
      <c r="AV21" s="46"/>
      <c r="AW21" s="59"/>
      <c r="AX21" s="61"/>
      <c r="AY21" s="59"/>
      <c r="AZ21" s="63"/>
      <c r="BA21" s="63"/>
      <c r="BB21" s="64"/>
      <c r="BC21" s="138"/>
      <c r="BD21" s="193"/>
      <c r="BE21" s="191">
        <f t="shared" si="8"/>
        <v>130000</v>
      </c>
      <c r="BF21" s="201">
        <f t="shared" si="9"/>
        <v>0</v>
      </c>
    </row>
    <row r="22" spans="1:58" s="2" customFormat="1" ht="25.5">
      <c r="A22" s="123" t="s">
        <v>125</v>
      </c>
      <c r="B22" s="12">
        <v>2.1</v>
      </c>
      <c r="C22" s="294" t="s">
        <v>111</v>
      </c>
      <c r="D22" s="156">
        <v>51000</v>
      </c>
      <c r="E22" s="314">
        <f t="shared" si="6"/>
        <v>9196.72131147541</v>
      </c>
      <c r="F22" s="341">
        <v>1</v>
      </c>
      <c r="G22" s="58"/>
      <c r="H22" s="59"/>
      <c r="I22" s="59"/>
      <c r="J22" s="59"/>
      <c r="K22" s="59"/>
      <c r="L22" s="59"/>
      <c r="M22" s="59"/>
      <c r="N22" s="59"/>
      <c r="O22" s="59"/>
      <c r="P22" s="59"/>
      <c r="Q22" s="59"/>
      <c r="R22" s="60"/>
      <c r="S22" s="147"/>
      <c r="T22" s="59"/>
      <c r="U22" s="59"/>
      <c r="V22" s="59"/>
      <c r="W22" s="59"/>
      <c r="X22" s="59"/>
      <c r="Y22" s="59"/>
      <c r="Z22" s="59"/>
      <c r="AA22" s="59"/>
      <c r="AB22" s="107"/>
      <c r="AC22" s="107"/>
      <c r="AD22" s="257"/>
      <c r="AE22" s="68">
        <f>D22*I10</f>
        <v>15300</v>
      </c>
      <c r="AF22" s="66"/>
      <c r="AG22" s="66"/>
      <c r="AH22" s="66" t="s">
        <v>64</v>
      </c>
      <c r="AI22" s="66"/>
      <c r="AJ22" s="66"/>
      <c r="AK22" s="66" t="s">
        <v>64</v>
      </c>
      <c r="AL22" s="66"/>
      <c r="AM22" s="66"/>
      <c r="AN22" s="69"/>
      <c r="AO22" s="81">
        <f>D22-AE22</f>
        <v>35700</v>
      </c>
      <c r="AP22" s="254"/>
      <c r="AQ22" s="147"/>
      <c r="AR22" s="59"/>
      <c r="AS22" s="46"/>
      <c r="AT22" s="59"/>
      <c r="AU22" s="59"/>
      <c r="AV22" s="59"/>
      <c r="AW22" s="59"/>
      <c r="AX22" s="61"/>
      <c r="AY22" s="59"/>
      <c r="AZ22" s="63"/>
      <c r="BA22" s="63"/>
      <c r="BB22" s="64"/>
      <c r="BC22" s="138"/>
      <c r="BD22" s="193"/>
      <c r="BE22" s="191">
        <f t="shared" si="8"/>
        <v>51000</v>
      </c>
      <c r="BF22" s="201">
        <f t="shared" si="9"/>
        <v>0</v>
      </c>
    </row>
    <row r="23" spans="1:58" s="2" customFormat="1" ht="25.5">
      <c r="A23" s="123" t="s">
        <v>125</v>
      </c>
      <c r="B23" s="12">
        <v>2.1</v>
      </c>
      <c r="C23" s="295" t="s">
        <v>162</v>
      </c>
      <c r="D23" s="156">
        <v>54000</v>
      </c>
      <c r="E23" s="314">
        <f t="shared" si="6"/>
        <v>9737.704918032787</v>
      </c>
      <c r="F23" s="341">
        <v>1</v>
      </c>
      <c r="G23" s="211"/>
      <c r="H23" s="107"/>
      <c r="I23" s="107"/>
      <c r="J23" s="107"/>
      <c r="K23" s="66">
        <f>D23*$I$10</f>
        <v>16200</v>
      </c>
      <c r="L23" s="66"/>
      <c r="M23" s="133">
        <f>D23-K23</f>
        <v>37800</v>
      </c>
      <c r="N23" s="59"/>
      <c r="O23" s="59"/>
      <c r="P23" s="59"/>
      <c r="Q23" s="109"/>
      <c r="R23" s="254"/>
      <c r="S23" s="147"/>
      <c r="T23" s="59"/>
      <c r="U23" s="59"/>
      <c r="V23" s="59"/>
      <c r="W23" s="59"/>
      <c r="X23" s="59"/>
      <c r="Y23" s="59"/>
      <c r="Z23" s="59"/>
      <c r="AA23" s="59"/>
      <c r="AB23" s="59"/>
      <c r="AC23" s="59"/>
      <c r="AD23" s="133"/>
      <c r="AE23" s="58"/>
      <c r="AF23" s="59"/>
      <c r="AG23" s="59"/>
      <c r="AH23" s="59"/>
      <c r="AI23" s="59"/>
      <c r="AJ23" s="59"/>
      <c r="AK23" s="59"/>
      <c r="AL23" s="59"/>
      <c r="AM23" s="59"/>
      <c r="AN23" s="59"/>
      <c r="AO23" s="59"/>
      <c r="AP23" s="60"/>
      <c r="AQ23" s="147"/>
      <c r="AR23" s="59"/>
      <c r="AS23" s="59"/>
      <c r="AT23" s="59"/>
      <c r="AU23" s="59"/>
      <c r="AV23" s="59"/>
      <c r="AW23" s="59"/>
      <c r="AX23" s="61"/>
      <c r="AY23" s="59"/>
      <c r="AZ23" s="63"/>
      <c r="BA23" s="63"/>
      <c r="BB23" s="64"/>
      <c r="BC23" s="138"/>
      <c r="BD23" s="193"/>
      <c r="BE23" s="191">
        <f t="shared" si="8"/>
        <v>54000</v>
      </c>
      <c r="BF23" s="201">
        <f t="shared" si="9"/>
        <v>0</v>
      </c>
    </row>
    <row r="24" spans="1:58" s="2" customFormat="1" ht="60">
      <c r="A24" s="123" t="s">
        <v>125</v>
      </c>
      <c r="B24" s="12">
        <v>2.1</v>
      </c>
      <c r="C24" s="221" t="s">
        <v>112</v>
      </c>
      <c r="D24" s="162">
        <v>121000</v>
      </c>
      <c r="E24" s="314">
        <f t="shared" si="6"/>
        <v>21819.67213114754</v>
      </c>
      <c r="F24" s="341">
        <v>0.9737</v>
      </c>
      <c r="G24" s="47"/>
      <c r="H24" s="292"/>
      <c r="I24" s="107"/>
      <c r="J24" s="107"/>
      <c r="K24" s="66">
        <f>D24*$I$10</f>
        <v>36300</v>
      </c>
      <c r="L24" s="66"/>
      <c r="M24" s="133">
        <f>D24-K24</f>
        <v>84700</v>
      </c>
      <c r="N24" s="59"/>
      <c r="O24" s="59"/>
      <c r="P24" s="59"/>
      <c r="Q24" s="59"/>
      <c r="R24" s="254"/>
      <c r="S24" s="147"/>
      <c r="U24" s="59"/>
      <c r="V24" s="65"/>
      <c r="W24" s="65"/>
      <c r="X24" s="65"/>
      <c r="Y24" s="46"/>
      <c r="Z24" s="46"/>
      <c r="AA24" s="46"/>
      <c r="AB24" s="46"/>
      <c r="AC24" s="46"/>
      <c r="AD24" s="139"/>
      <c r="AE24" s="211"/>
      <c r="AF24" s="46"/>
      <c r="AG24" s="46"/>
      <c r="AH24" s="46"/>
      <c r="AI24" s="46"/>
      <c r="AJ24" s="46"/>
      <c r="AK24" s="46"/>
      <c r="AL24" s="242"/>
      <c r="AM24" s="109"/>
      <c r="AN24" s="59"/>
      <c r="AO24" s="59"/>
      <c r="AP24" s="60"/>
      <c r="AQ24" s="147"/>
      <c r="AR24" s="59"/>
      <c r="AS24" s="59"/>
      <c r="AT24" s="59"/>
      <c r="AU24" s="59"/>
      <c r="AV24" s="59"/>
      <c r="AW24" s="59"/>
      <c r="AX24" s="61"/>
      <c r="AY24" s="59"/>
      <c r="AZ24" s="59"/>
      <c r="BA24" s="59"/>
      <c r="BB24" s="60"/>
      <c r="BC24" s="138"/>
      <c r="BD24" s="193"/>
      <c r="BE24" s="191">
        <f t="shared" si="8"/>
        <v>121000</v>
      </c>
      <c r="BF24" s="201">
        <f t="shared" si="9"/>
        <v>0</v>
      </c>
    </row>
    <row r="25" spans="1:58" s="2" customFormat="1" ht="60">
      <c r="A25" s="123" t="s">
        <v>125</v>
      </c>
      <c r="B25" s="12">
        <v>2.1</v>
      </c>
      <c r="C25" s="221" t="s">
        <v>100</v>
      </c>
      <c r="D25" s="162">
        <v>160000</v>
      </c>
      <c r="E25" s="314">
        <f t="shared" si="6"/>
        <v>28852.45901639344</v>
      </c>
      <c r="F25" s="341">
        <v>1</v>
      </c>
      <c r="G25" s="211"/>
      <c r="H25" s="107"/>
      <c r="I25" s="107"/>
      <c r="J25" s="107"/>
      <c r="K25" s="66">
        <f>D25*$I$10</f>
        <v>48000</v>
      </c>
      <c r="L25" s="66"/>
      <c r="M25" s="133">
        <f>D25-K25</f>
        <v>112000</v>
      </c>
      <c r="N25" s="59"/>
      <c r="O25" s="59"/>
      <c r="P25" s="59"/>
      <c r="Q25" s="109"/>
      <c r="R25" s="254"/>
      <c r="S25" s="147"/>
      <c r="T25" s="59"/>
      <c r="U25" s="59"/>
      <c r="V25" s="59"/>
      <c r="W25" s="59"/>
      <c r="X25" s="59"/>
      <c r="Y25" s="59"/>
      <c r="Z25" s="59"/>
      <c r="AA25" s="59"/>
      <c r="AB25" s="59"/>
      <c r="AC25" s="59"/>
      <c r="AD25" s="133"/>
      <c r="AE25" s="58"/>
      <c r="AF25" s="59"/>
      <c r="AG25" s="59"/>
      <c r="AH25" s="59"/>
      <c r="AI25" s="59"/>
      <c r="AJ25" s="59"/>
      <c r="AK25" s="59"/>
      <c r="AL25" s="59"/>
      <c r="AM25" s="59"/>
      <c r="AN25" s="59"/>
      <c r="AO25" s="59"/>
      <c r="AP25" s="254"/>
      <c r="AQ25" s="147"/>
      <c r="AR25" s="59"/>
      <c r="AS25" s="59"/>
      <c r="AT25" s="59"/>
      <c r="AU25" s="59"/>
      <c r="AV25" s="59"/>
      <c r="AW25" s="59"/>
      <c r="AX25" s="61"/>
      <c r="AY25" s="59"/>
      <c r="AZ25" s="63"/>
      <c r="BA25" s="63"/>
      <c r="BB25" s="64"/>
      <c r="BC25" s="138"/>
      <c r="BD25" s="193"/>
      <c r="BE25" s="191">
        <f t="shared" si="8"/>
        <v>160000</v>
      </c>
      <c r="BF25" s="201">
        <f t="shared" si="9"/>
        <v>0</v>
      </c>
    </row>
    <row r="26" spans="1:58" s="2" customFormat="1" ht="25.5">
      <c r="A26" s="123" t="s">
        <v>125</v>
      </c>
      <c r="B26" s="12">
        <v>3.1</v>
      </c>
      <c r="C26" s="217" t="s">
        <v>5</v>
      </c>
      <c r="D26" s="156">
        <v>56000</v>
      </c>
      <c r="E26" s="314">
        <f t="shared" si="6"/>
        <v>10098.360655737704</v>
      </c>
      <c r="F26" s="341">
        <v>0.981</v>
      </c>
      <c r="G26" s="58"/>
      <c r="I26" s="107"/>
      <c r="J26" s="107"/>
      <c r="K26" s="107"/>
      <c r="L26" s="66">
        <f>D26</f>
        <v>56000</v>
      </c>
      <c r="M26" s="59"/>
      <c r="N26" s="59"/>
      <c r="O26" s="59"/>
      <c r="P26" s="59"/>
      <c r="Q26" s="59"/>
      <c r="R26" s="60"/>
      <c r="S26" s="147"/>
      <c r="T26" s="59"/>
      <c r="U26" s="59"/>
      <c r="V26" s="59"/>
      <c r="W26" s="59"/>
      <c r="X26" s="59"/>
      <c r="Y26" s="59"/>
      <c r="Z26" s="59"/>
      <c r="AA26" s="59"/>
      <c r="AB26" s="107"/>
      <c r="AC26" s="107"/>
      <c r="AD26" s="257"/>
      <c r="AE26" s="68">
        <f>(D26-L26)*I10</f>
        <v>0</v>
      </c>
      <c r="AF26" s="66"/>
      <c r="AG26" s="66"/>
      <c r="AH26" s="66" t="s">
        <v>64</v>
      </c>
      <c r="AI26" s="66"/>
      <c r="AJ26" s="66"/>
      <c r="AK26" s="77">
        <f>D26-L26-AE26</f>
        <v>0</v>
      </c>
      <c r="AL26" s="48"/>
      <c r="AM26" s="48"/>
      <c r="AN26" s="48"/>
      <c r="AO26" s="48"/>
      <c r="AP26" s="52"/>
      <c r="AQ26" s="144"/>
      <c r="AR26" s="48"/>
      <c r="AS26" s="48"/>
      <c r="AT26" s="59"/>
      <c r="AU26" s="59"/>
      <c r="AV26" s="59"/>
      <c r="AW26" s="59"/>
      <c r="AX26" s="61"/>
      <c r="AY26" s="59"/>
      <c r="AZ26" s="59"/>
      <c r="BA26" s="59"/>
      <c r="BB26" s="60"/>
      <c r="BC26" s="138"/>
      <c r="BD26" s="193"/>
      <c r="BE26" s="191">
        <f t="shared" si="8"/>
        <v>56000</v>
      </c>
      <c r="BF26" s="201">
        <f t="shared" si="9"/>
        <v>0</v>
      </c>
    </row>
    <row r="27" spans="1:58" s="6" customFormat="1" ht="14.25">
      <c r="A27" s="122" t="s">
        <v>124</v>
      </c>
      <c r="B27" s="17" t="s">
        <v>126</v>
      </c>
      <c r="C27" s="30"/>
      <c r="D27" s="157"/>
      <c r="E27" s="315"/>
      <c r="F27" s="342"/>
      <c r="G27" s="352"/>
      <c r="H27" s="53"/>
      <c r="I27" s="53"/>
      <c r="J27" s="54"/>
      <c r="K27" s="54"/>
      <c r="L27" s="54"/>
      <c r="M27" s="54"/>
      <c r="N27" s="54"/>
      <c r="O27" s="54"/>
      <c r="P27" s="54"/>
      <c r="Q27" s="54"/>
      <c r="R27" s="55"/>
      <c r="S27" s="145"/>
      <c r="T27" s="54"/>
      <c r="U27" s="54"/>
      <c r="V27" s="54"/>
      <c r="W27" s="54"/>
      <c r="X27" s="54"/>
      <c r="Y27" s="54"/>
      <c r="Z27" s="54"/>
      <c r="AA27" s="54"/>
      <c r="AB27" s="54"/>
      <c r="AC27" s="54"/>
      <c r="AD27" s="132"/>
      <c r="AE27" s="56"/>
      <c r="AF27" s="54"/>
      <c r="AG27" s="54"/>
      <c r="AH27" s="54"/>
      <c r="AI27" s="54"/>
      <c r="AJ27" s="54"/>
      <c r="AK27" s="54"/>
      <c r="AL27" s="54"/>
      <c r="AM27" s="54"/>
      <c r="AN27" s="54"/>
      <c r="AO27" s="54"/>
      <c r="AP27" s="55"/>
      <c r="AQ27" s="145"/>
      <c r="AR27" s="54"/>
      <c r="AS27" s="54"/>
      <c r="AT27" s="54"/>
      <c r="AU27" s="54"/>
      <c r="AV27" s="54"/>
      <c r="AW27" s="54"/>
      <c r="AX27" s="44"/>
      <c r="AY27" s="54"/>
      <c r="AZ27" s="54"/>
      <c r="BA27" s="54"/>
      <c r="BB27" s="55"/>
      <c r="BC27" s="192"/>
      <c r="BD27" s="187"/>
      <c r="BE27" s="191">
        <f t="shared" si="8"/>
        <v>0</v>
      </c>
      <c r="BF27" s="201">
        <f t="shared" si="9"/>
        <v>0</v>
      </c>
    </row>
    <row r="28" spans="1:58" s="3" customFormat="1" ht="72">
      <c r="A28" s="123" t="s">
        <v>127</v>
      </c>
      <c r="B28" s="11">
        <v>2.1</v>
      </c>
      <c r="C28" s="221" t="s">
        <v>68</v>
      </c>
      <c r="D28" s="162">
        <f>701886-40000-155000</f>
        <v>506886</v>
      </c>
      <c r="E28" s="314">
        <f t="shared" si="6"/>
        <v>91405.67213114754</v>
      </c>
      <c r="F28" s="341">
        <v>0.9682</v>
      </c>
      <c r="G28" s="58"/>
      <c r="H28" s="107"/>
      <c r="I28" s="107"/>
      <c r="J28" s="107"/>
      <c r="K28" s="66">
        <f>D28*2/3*I10</f>
        <v>101377.2</v>
      </c>
      <c r="L28" s="66"/>
      <c r="M28" s="66"/>
      <c r="N28" s="66"/>
      <c r="O28" s="69"/>
      <c r="P28" s="69"/>
      <c r="Q28" s="59">
        <f>D28*2/3-K28</f>
        <v>236546.8</v>
      </c>
      <c r="R28" s="252"/>
      <c r="S28" s="149"/>
      <c r="T28" s="70"/>
      <c r="U28" s="70"/>
      <c r="V28" s="70"/>
      <c r="W28" s="70"/>
      <c r="X28" s="70"/>
      <c r="Y28" s="70"/>
      <c r="Z28" s="70"/>
      <c r="AA28" s="70"/>
      <c r="AB28" s="70"/>
      <c r="AC28" s="70"/>
      <c r="AD28" s="120"/>
      <c r="AE28" s="265"/>
      <c r="AF28" s="97"/>
      <c r="AG28" s="97"/>
      <c r="AH28" s="66">
        <f>D28/3*I10</f>
        <v>50688.6</v>
      </c>
      <c r="AI28" s="66"/>
      <c r="AJ28" s="66"/>
      <c r="AK28" s="66"/>
      <c r="AL28" s="66"/>
      <c r="AM28" s="66"/>
      <c r="AN28" s="264"/>
      <c r="AO28" s="77">
        <f>D28/3-AH28</f>
        <v>118273.4</v>
      </c>
      <c r="AP28" s="82"/>
      <c r="AQ28" s="149"/>
      <c r="AR28" s="70"/>
      <c r="AS28" s="70"/>
      <c r="AT28" s="70"/>
      <c r="AU28" s="70"/>
      <c r="AV28" s="70"/>
      <c r="AW28" s="70"/>
      <c r="AX28" s="75"/>
      <c r="AY28" s="70"/>
      <c r="AZ28" s="70"/>
      <c r="BA28" s="70"/>
      <c r="BB28" s="74"/>
      <c r="BC28" s="138"/>
      <c r="BD28" s="194"/>
      <c r="BE28" s="191">
        <f t="shared" si="8"/>
        <v>506886</v>
      </c>
      <c r="BF28" s="201">
        <f t="shared" si="9"/>
        <v>0</v>
      </c>
    </row>
    <row r="29" spans="1:58" s="3" customFormat="1" ht="25.5">
      <c r="A29" s="123" t="s">
        <v>127</v>
      </c>
      <c r="B29" s="11">
        <v>3.1</v>
      </c>
      <c r="C29" s="217" t="s">
        <v>6</v>
      </c>
      <c r="D29" s="156">
        <f>20*2000-10000</f>
        <v>30000</v>
      </c>
      <c r="E29" s="314">
        <f t="shared" si="6"/>
        <v>5409.836065573771</v>
      </c>
      <c r="F29" s="341">
        <v>0.981</v>
      </c>
      <c r="G29" s="58"/>
      <c r="I29" s="107"/>
      <c r="J29" s="107"/>
      <c r="K29" s="107"/>
      <c r="L29" s="66">
        <f>4000*I10</f>
        <v>1200</v>
      </c>
      <c r="M29" s="66"/>
      <c r="N29" s="66"/>
      <c r="O29" s="66"/>
      <c r="P29" s="69"/>
      <c r="Q29" s="59">
        <f>4000-L29</f>
        <v>2800</v>
      </c>
      <c r="R29" s="74"/>
      <c r="S29" s="149"/>
      <c r="T29" s="70"/>
      <c r="U29" s="70"/>
      <c r="V29" s="70"/>
      <c r="W29" s="70"/>
      <c r="X29" s="70"/>
      <c r="Y29" s="70"/>
      <c r="Z29" s="70"/>
      <c r="AA29" s="70"/>
      <c r="AB29" s="70"/>
      <c r="AC29" s="70"/>
      <c r="AD29" s="120"/>
      <c r="AE29" s="73"/>
      <c r="AF29" s="70"/>
      <c r="AG29" s="70"/>
      <c r="AH29" s="97"/>
      <c r="AI29" s="97"/>
      <c r="AJ29" s="97"/>
      <c r="AK29" s="66">
        <f>(D29-L29-Q29)*I10</f>
        <v>7800</v>
      </c>
      <c r="AL29" s="66"/>
      <c r="AM29" s="66"/>
      <c r="AN29" s="69"/>
      <c r="AO29" s="63">
        <f>D29-L29-Q29-AK29</f>
        <v>18200</v>
      </c>
      <c r="AP29" s="60"/>
      <c r="AR29" s="70"/>
      <c r="AS29" s="70"/>
      <c r="AT29" s="70"/>
      <c r="AU29" s="70"/>
      <c r="AV29" s="70"/>
      <c r="AW29" s="70"/>
      <c r="AX29" s="75"/>
      <c r="AY29" s="70"/>
      <c r="AZ29" s="70"/>
      <c r="BA29" s="70"/>
      <c r="BB29" s="74"/>
      <c r="BC29" s="138"/>
      <c r="BD29" s="194"/>
      <c r="BE29" s="191">
        <f t="shared" si="8"/>
        <v>30000</v>
      </c>
      <c r="BF29" s="201">
        <f t="shared" si="9"/>
        <v>0</v>
      </c>
    </row>
    <row r="30" spans="1:58" s="6" customFormat="1" ht="14.25">
      <c r="A30" s="122" t="s">
        <v>124</v>
      </c>
      <c r="B30" s="17" t="s">
        <v>128</v>
      </c>
      <c r="C30" s="30"/>
      <c r="D30" s="157"/>
      <c r="E30" s="315"/>
      <c r="F30" s="342"/>
      <c r="G30" s="352"/>
      <c r="H30" s="53"/>
      <c r="I30" s="53"/>
      <c r="J30" s="54"/>
      <c r="K30" s="54"/>
      <c r="L30" s="54"/>
      <c r="M30" s="54"/>
      <c r="N30" s="54"/>
      <c r="O30" s="54"/>
      <c r="P30" s="54"/>
      <c r="Q30" s="54"/>
      <c r="R30" s="55"/>
      <c r="S30" s="145"/>
      <c r="T30" s="54"/>
      <c r="U30" s="54"/>
      <c r="V30" s="54"/>
      <c r="W30" s="54"/>
      <c r="X30" s="54"/>
      <c r="Y30" s="54"/>
      <c r="Z30" s="54"/>
      <c r="AA30" s="54"/>
      <c r="AB30" s="54"/>
      <c r="AC30" s="54"/>
      <c r="AD30" s="132"/>
      <c r="AE30" s="56"/>
      <c r="AF30" s="54"/>
      <c r="AG30" s="54"/>
      <c r="AH30" s="54"/>
      <c r="AI30" s="54"/>
      <c r="AJ30" s="54"/>
      <c r="AK30" s="54"/>
      <c r="AL30" s="54"/>
      <c r="AM30" s="54"/>
      <c r="AN30" s="54"/>
      <c r="AO30" s="54"/>
      <c r="AP30" s="55"/>
      <c r="AQ30" s="145"/>
      <c r="AR30" s="54"/>
      <c r="AS30" s="54"/>
      <c r="AT30" s="54"/>
      <c r="AU30" s="54"/>
      <c r="AV30" s="54"/>
      <c r="AW30" s="54"/>
      <c r="AX30" s="44"/>
      <c r="AY30" s="54"/>
      <c r="AZ30" s="54"/>
      <c r="BA30" s="54"/>
      <c r="BB30" s="55"/>
      <c r="BC30" s="192"/>
      <c r="BD30" s="187"/>
      <c r="BE30" s="191">
        <f t="shared" si="8"/>
        <v>0</v>
      </c>
      <c r="BF30" s="201">
        <f t="shared" si="9"/>
        <v>0</v>
      </c>
    </row>
    <row r="31" spans="1:58" s="2" customFormat="1" ht="48">
      <c r="A31" s="123" t="s">
        <v>129</v>
      </c>
      <c r="B31" s="21">
        <v>2.1</v>
      </c>
      <c r="C31" s="216" t="s">
        <v>69</v>
      </c>
      <c r="D31" s="156">
        <v>25000</v>
      </c>
      <c r="E31" s="314">
        <f t="shared" si="6"/>
        <v>4508.196721311476</v>
      </c>
      <c r="F31" s="341">
        <v>0.9682</v>
      </c>
      <c r="G31" s="73"/>
      <c r="H31" s="70"/>
      <c r="I31" s="70"/>
      <c r="J31" s="70" t="s">
        <v>106</v>
      </c>
      <c r="K31" s="70"/>
      <c r="L31" s="70"/>
      <c r="M31" s="70" t="s">
        <v>106</v>
      </c>
      <c r="N31" s="70"/>
      <c r="O31" s="70"/>
      <c r="P31" s="97" t="s">
        <v>106</v>
      </c>
      <c r="Q31" s="97"/>
      <c r="R31" s="212"/>
      <c r="S31" s="148">
        <f>D31*I10</f>
        <v>7500</v>
      </c>
      <c r="T31" s="66"/>
      <c r="U31" s="66"/>
      <c r="V31" s="66"/>
      <c r="W31" s="66"/>
      <c r="X31" s="66"/>
      <c r="Y31" s="101">
        <f>D31-S31</f>
        <v>17500</v>
      </c>
      <c r="Z31" s="70"/>
      <c r="AA31" s="70"/>
      <c r="AB31" s="70" t="s">
        <v>106</v>
      </c>
      <c r="AC31" s="70"/>
      <c r="AD31" s="120"/>
      <c r="AE31" s="73" t="s">
        <v>106</v>
      </c>
      <c r="AF31" s="70"/>
      <c r="AG31" s="70"/>
      <c r="AH31" s="70" t="s">
        <v>106</v>
      </c>
      <c r="AI31" s="70"/>
      <c r="AJ31" s="70"/>
      <c r="AK31" s="70" t="s">
        <v>106</v>
      </c>
      <c r="AL31" s="70"/>
      <c r="AM31" s="70"/>
      <c r="AN31" s="70" t="s">
        <v>106</v>
      </c>
      <c r="AO31" s="70"/>
      <c r="AP31" s="74"/>
      <c r="AQ31" s="149"/>
      <c r="AR31" s="70"/>
      <c r="AS31" s="70"/>
      <c r="AT31" s="70"/>
      <c r="AU31" s="70"/>
      <c r="AV31" s="70"/>
      <c r="AW31" s="70"/>
      <c r="AX31" s="75"/>
      <c r="AY31" s="70"/>
      <c r="AZ31" s="70"/>
      <c r="BA31" s="70"/>
      <c r="BB31" s="74"/>
      <c r="BC31" s="138"/>
      <c r="BD31" s="193"/>
      <c r="BE31" s="191">
        <f t="shared" si="8"/>
        <v>25000</v>
      </c>
      <c r="BF31" s="201">
        <f t="shared" si="9"/>
        <v>0</v>
      </c>
    </row>
    <row r="32" spans="1:58" s="2" customFormat="1" ht="48">
      <c r="A32" s="123" t="s">
        <v>129</v>
      </c>
      <c r="B32" s="21">
        <v>2.1</v>
      </c>
      <c r="C32" s="216" t="s">
        <v>143</v>
      </c>
      <c r="D32" s="156">
        <v>50000</v>
      </c>
      <c r="E32" s="314">
        <f t="shared" si="6"/>
        <v>9016.393442622952</v>
      </c>
      <c r="F32" s="341">
        <v>0.9682</v>
      </c>
      <c r="G32" s="62"/>
      <c r="H32" s="63"/>
      <c r="I32" s="63"/>
      <c r="J32" s="63"/>
      <c r="K32" s="63"/>
      <c r="L32" s="63"/>
      <c r="M32" s="63"/>
      <c r="N32" s="63"/>
      <c r="O32" s="63"/>
      <c r="P32" s="63"/>
      <c r="Q32" s="63"/>
      <c r="R32" s="64"/>
      <c r="S32" s="150"/>
      <c r="T32" s="63"/>
      <c r="U32" s="63"/>
      <c r="V32" s="63"/>
      <c r="W32" s="63"/>
      <c r="X32" s="63"/>
      <c r="Y32" s="63"/>
      <c r="Z32" s="63"/>
      <c r="AA32" s="63"/>
      <c r="AB32" s="63"/>
      <c r="AC32" s="63"/>
      <c r="AD32" s="76"/>
      <c r="AE32" s="62"/>
      <c r="AF32" s="63"/>
      <c r="AG32" s="63"/>
      <c r="AH32" s="215">
        <v>1499</v>
      </c>
      <c r="AI32" s="215"/>
      <c r="AJ32" s="107"/>
      <c r="AK32" s="107"/>
      <c r="AL32" s="107"/>
      <c r="AM32" s="66">
        <f>D32*I10</f>
        <v>15000</v>
      </c>
      <c r="AN32" s="66"/>
      <c r="AO32" s="66"/>
      <c r="AP32" s="67"/>
      <c r="AQ32" s="148"/>
      <c r="AR32" s="59">
        <f>D32-AH32-AM32</f>
        <v>33501</v>
      </c>
      <c r="AT32" s="46"/>
      <c r="AU32" s="46"/>
      <c r="AV32" s="46"/>
      <c r="AW32" s="46"/>
      <c r="AX32" s="61"/>
      <c r="AY32" s="59"/>
      <c r="AZ32" s="46"/>
      <c r="BA32" s="63"/>
      <c r="BB32" s="64"/>
      <c r="BC32" s="138"/>
      <c r="BD32" s="193"/>
      <c r="BE32" s="191">
        <f t="shared" si="8"/>
        <v>50000</v>
      </c>
      <c r="BF32" s="201">
        <f t="shared" si="9"/>
        <v>0</v>
      </c>
    </row>
    <row r="33" spans="1:58" s="2" customFormat="1" ht="48">
      <c r="A33" s="123" t="s">
        <v>129</v>
      </c>
      <c r="B33" s="21">
        <v>2.1</v>
      </c>
      <c r="C33" s="216" t="s">
        <v>144</v>
      </c>
      <c r="D33" s="158">
        <v>25000</v>
      </c>
      <c r="E33" s="314">
        <f t="shared" si="6"/>
        <v>4508.196721311476</v>
      </c>
      <c r="F33" s="341">
        <v>0.9682</v>
      </c>
      <c r="G33" s="62"/>
      <c r="H33" s="63"/>
      <c r="I33" s="63"/>
      <c r="J33" s="63"/>
      <c r="K33" s="63"/>
      <c r="L33" s="63"/>
      <c r="M33" s="63"/>
      <c r="N33" s="63"/>
      <c r="O33" s="63"/>
      <c r="P33" s="63"/>
      <c r="Q33" s="63"/>
      <c r="R33" s="64"/>
      <c r="S33" s="150"/>
      <c r="T33" s="63"/>
      <c r="U33" s="63"/>
      <c r="V33" s="63"/>
      <c r="W33" s="63"/>
      <c r="X33" s="63"/>
      <c r="Y33" s="63"/>
      <c r="Z33" s="63"/>
      <c r="AA33" s="63"/>
      <c r="AB33" s="63"/>
      <c r="AC33" s="63"/>
      <c r="AD33" s="76"/>
      <c r="AE33" s="62"/>
      <c r="AF33" s="63"/>
      <c r="AG33" s="63"/>
      <c r="AH33" s="63"/>
      <c r="AI33" s="215">
        <v>1000</v>
      </c>
      <c r="AJ33" s="107"/>
      <c r="AK33" s="107"/>
      <c r="AL33" s="107"/>
      <c r="AM33" s="66">
        <f>D33*I10</f>
        <v>7500</v>
      </c>
      <c r="AN33" s="66"/>
      <c r="AO33" s="66"/>
      <c r="AP33" s="64">
        <f>D33-AI33-AM33</f>
        <v>16500</v>
      </c>
      <c r="AR33" s="63"/>
      <c r="AS33" s="63"/>
      <c r="AT33" s="63"/>
      <c r="AU33" s="63"/>
      <c r="AV33" s="63"/>
      <c r="AW33" s="63"/>
      <c r="AX33" s="61"/>
      <c r="AY33" s="63"/>
      <c r="AZ33" s="63"/>
      <c r="BA33" s="63"/>
      <c r="BB33" s="64"/>
      <c r="BC33" s="138"/>
      <c r="BD33" s="193"/>
      <c r="BE33" s="191">
        <f t="shared" si="8"/>
        <v>25000</v>
      </c>
      <c r="BF33" s="201">
        <f t="shared" si="9"/>
        <v>0</v>
      </c>
    </row>
    <row r="34" spans="1:58" s="2" customFormat="1" ht="38.25">
      <c r="A34" s="123" t="s">
        <v>129</v>
      </c>
      <c r="B34" s="21">
        <v>2.1</v>
      </c>
      <c r="C34" s="216" t="s">
        <v>70</v>
      </c>
      <c r="D34" s="156">
        <v>10000</v>
      </c>
      <c r="E34" s="314">
        <f t="shared" si="6"/>
        <v>1803.27868852459</v>
      </c>
      <c r="F34" s="341">
        <v>0.9682</v>
      </c>
      <c r="G34" s="211" t="s">
        <v>218</v>
      </c>
      <c r="H34" s="107"/>
      <c r="I34" s="107"/>
      <c r="J34" s="107"/>
      <c r="K34" s="66">
        <f>D34*I10</f>
        <v>3000</v>
      </c>
      <c r="L34" s="83">
        <f>D34-K34</f>
        <v>7000</v>
      </c>
      <c r="M34" s="81"/>
      <c r="N34" s="109"/>
      <c r="O34" s="70"/>
      <c r="P34" s="70"/>
      <c r="Q34" s="70"/>
      <c r="R34" s="74"/>
      <c r="S34" s="149"/>
      <c r="T34" s="70"/>
      <c r="U34" s="70"/>
      <c r="V34" s="70"/>
      <c r="W34" s="70"/>
      <c r="X34" s="70"/>
      <c r="Y34" s="70"/>
      <c r="Z34" s="70"/>
      <c r="AA34" s="70"/>
      <c r="AB34" s="70"/>
      <c r="AC34" s="70"/>
      <c r="AD34" s="120"/>
      <c r="AE34" s="73"/>
      <c r="AF34" s="70"/>
      <c r="AG34" s="70"/>
      <c r="AH34" s="70"/>
      <c r="AI34" s="70"/>
      <c r="AJ34" s="70"/>
      <c r="AK34" s="70"/>
      <c r="AL34" s="70"/>
      <c r="AM34" s="70"/>
      <c r="AN34" s="70"/>
      <c r="AO34" s="70"/>
      <c r="AP34" s="74"/>
      <c r="AQ34" s="149"/>
      <c r="AR34" s="70"/>
      <c r="AS34" s="70"/>
      <c r="AT34" s="70"/>
      <c r="AU34" s="70"/>
      <c r="AV34" s="70"/>
      <c r="AW34" s="70"/>
      <c r="AX34" s="75"/>
      <c r="AY34" s="70"/>
      <c r="AZ34" s="70"/>
      <c r="BA34" s="70"/>
      <c r="BB34" s="74"/>
      <c r="BC34" s="138"/>
      <c r="BD34" s="193"/>
      <c r="BE34" s="191">
        <f t="shared" si="8"/>
        <v>10000</v>
      </c>
      <c r="BF34" s="201">
        <f t="shared" si="9"/>
        <v>0</v>
      </c>
    </row>
    <row r="35" spans="1:58" s="2" customFormat="1" ht="38.25">
      <c r="A35" s="123" t="s">
        <v>129</v>
      </c>
      <c r="B35" s="21">
        <v>2.1</v>
      </c>
      <c r="C35" s="216" t="s">
        <v>71</v>
      </c>
      <c r="D35" s="156">
        <v>15000</v>
      </c>
      <c r="E35" s="314">
        <f t="shared" si="6"/>
        <v>2704.9180327868853</v>
      </c>
      <c r="F35" s="341">
        <v>0.9682</v>
      </c>
      <c r="G35" s="211" t="s">
        <v>218</v>
      </c>
      <c r="H35" s="107"/>
      <c r="I35" s="107"/>
      <c r="J35" s="107"/>
      <c r="K35" s="66">
        <f>D35*I10</f>
        <v>4500</v>
      </c>
      <c r="L35" s="83">
        <f>D35-K35</f>
        <v>10500</v>
      </c>
      <c r="M35" s="81"/>
      <c r="N35" s="109"/>
      <c r="O35" s="70"/>
      <c r="P35" s="70"/>
      <c r="Q35" s="70"/>
      <c r="R35" s="74"/>
      <c r="S35" s="149"/>
      <c r="T35" s="70"/>
      <c r="U35" s="70"/>
      <c r="V35" s="70"/>
      <c r="W35" s="70"/>
      <c r="X35" s="70"/>
      <c r="Y35" s="70"/>
      <c r="Z35" s="70"/>
      <c r="AA35" s="70"/>
      <c r="AB35" s="70"/>
      <c r="AC35" s="70"/>
      <c r="AD35" s="120"/>
      <c r="AE35" s="73"/>
      <c r="AF35" s="70"/>
      <c r="AG35" s="70"/>
      <c r="AH35" s="70"/>
      <c r="AI35" s="70"/>
      <c r="AJ35" s="70"/>
      <c r="AK35" s="70"/>
      <c r="AL35" s="70"/>
      <c r="AM35" s="70"/>
      <c r="AN35" s="70"/>
      <c r="AO35" s="70"/>
      <c r="AP35" s="74"/>
      <c r="AQ35" s="149"/>
      <c r="AR35" s="70"/>
      <c r="AS35" s="70"/>
      <c r="AT35" s="70"/>
      <c r="AU35" s="70"/>
      <c r="AV35" s="70"/>
      <c r="AW35" s="70"/>
      <c r="AX35" s="75"/>
      <c r="AY35" s="70"/>
      <c r="AZ35" s="70"/>
      <c r="BA35" s="70"/>
      <c r="BB35" s="74"/>
      <c r="BC35" s="138"/>
      <c r="BD35" s="193"/>
      <c r="BE35" s="191">
        <f t="shared" si="8"/>
        <v>15000</v>
      </c>
      <c r="BF35" s="201">
        <f t="shared" si="9"/>
        <v>0</v>
      </c>
    </row>
    <row r="36" spans="1:58" s="2" customFormat="1" ht="38.25">
      <c r="A36" s="123" t="s">
        <v>129</v>
      </c>
      <c r="B36" s="21">
        <v>2.1</v>
      </c>
      <c r="C36" s="216" t="s">
        <v>145</v>
      </c>
      <c r="D36" s="158">
        <v>56000</v>
      </c>
      <c r="E36" s="314">
        <f t="shared" si="6"/>
        <v>10098.360655737704</v>
      </c>
      <c r="F36" s="341">
        <v>0.9682</v>
      </c>
      <c r="G36" s="62"/>
      <c r="H36" s="63"/>
      <c r="I36" s="63"/>
      <c r="J36" s="63"/>
      <c r="K36" s="63"/>
      <c r="L36" s="63"/>
      <c r="M36" s="63"/>
      <c r="N36" s="63"/>
      <c r="O36" s="63"/>
      <c r="P36" s="63"/>
      <c r="Q36" s="63"/>
      <c r="R36" s="64"/>
      <c r="S36" s="150"/>
      <c r="T36" s="63"/>
      <c r="U36" s="63"/>
      <c r="V36" s="63"/>
      <c r="W36" s="63"/>
      <c r="X36" s="63"/>
      <c r="Y36" s="63"/>
      <c r="Z36" s="63"/>
      <c r="AA36" s="63"/>
      <c r="AB36" s="107"/>
      <c r="AC36" s="107"/>
      <c r="AD36" s="257"/>
      <c r="AE36" s="68">
        <f>D36*I10</f>
        <v>16800</v>
      </c>
      <c r="AF36" s="66"/>
      <c r="AG36" s="66"/>
      <c r="AH36" s="63">
        <f>D36-AE36</f>
        <v>39200</v>
      </c>
      <c r="AI36" s="63"/>
      <c r="AJ36" s="63"/>
      <c r="AK36" s="63"/>
      <c r="AL36" s="63"/>
      <c r="AM36" s="63"/>
      <c r="AN36" s="63"/>
      <c r="AO36" s="63"/>
      <c r="AP36" s="64"/>
      <c r="AQ36" s="150"/>
      <c r="AR36" s="63"/>
      <c r="AS36" s="63"/>
      <c r="AT36" s="63"/>
      <c r="AU36" s="63"/>
      <c r="AV36" s="63"/>
      <c r="AW36" s="63"/>
      <c r="AX36" s="61"/>
      <c r="AY36" s="63"/>
      <c r="AZ36" s="63"/>
      <c r="BA36" s="63"/>
      <c r="BB36" s="64"/>
      <c r="BC36" s="138"/>
      <c r="BD36" s="193"/>
      <c r="BE36" s="191">
        <f t="shared" si="8"/>
        <v>56000</v>
      </c>
      <c r="BF36" s="201">
        <f t="shared" si="9"/>
        <v>0</v>
      </c>
    </row>
    <row r="37" spans="1:58" s="2" customFormat="1" ht="38.25">
      <c r="A37" s="123" t="s">
        <v>129</v>
      </c>
      <c r="B37" s="21">
        <v>2.1</v>
      </c>
      <c r="C37" s="216" t="s">
        <v>72</v>
      </c>
      <c r="D37" s="156">
        <v>24000</v>
      </c>
      <c r="E37" s="314">
        <f t="shared" si="6"/>
        <v>4327.868852459016</v>
      </c>
      <c r="F37" s="341">
        <v>0.9682</v>
      </c>
      <c r="G37" s="211" t="s">
        <v>218</v>
      </c>
      <c r="H37" s="107"/>
      <c r="I37" s="107"/>
      <c r="J37" s="107"/>
      <c r="K37" s="66">
        <f>D37*I10</f>
        <v>7200</v>
      </c>
      <c r="L37" s="66">
        <f>D37-K37</f>
        <v>16800</v>
      </c>
      <c r="M37" s="59"/>
      <c r="N37" s="46"/>
      <c r="O37" s="63"/>
      <c r="P37" s="63"/>
      <c r="Q37" s="63"/>
      <c r="R37" s="64"/>
      <c r="S37" s="150"/>
      <c r="T37" s="63"/>
      <c r="U37" s="63"/>
      <c r="V37" s="63"/>
      <c r="W37" s="63"/>
      <c r="X37" s="63"/>
      <c r="Y37" s="63"/>
      <c r="Z37" s="63"/>
      <c r="AA37" s="63"/>
      <c r="AB37" s="63"/>
      <c r="AC37" s="63"/>
      <c r="AD37" s="76"/>
      <c r="AE37" s="62"/>
      <c r="AF37" s="63"/>
      <c r="AG37" s="63"/>
      <c r="AH37" s="63"/>
      <c r="AI37" s="63"/>
      <c r="AJ37" s="63"/>
      <c r="AK37" s="63"/>
      <c r="AL37" s="63"/>
      <c r="AM37" s="63"/>
      <c r="AN37" s="63"/>
      <c r="AO37" s="63"/>
      <c r="AP37" s="64"/>
      <c r="AQ37" s="150"/>
      <c r="AR37" s="63"/>
      <c r="AS37" s="63"/>
      <c r="AT37" s="63"/>
      <c r="AU37" s="63"/>
      <c r="AV37" s="63"/>
      <c r="AW37" s="63"/>
      <c r="AX37" s="61"/>
      <c r="AY37" s="63"/>
      <c r="AZ37" s="63"/>
      <c r="BA37" s="63"/>
      <c r="BB37" s="64"/>
      <c r="BC37" s="138"/>
      <c r="BD37" s="193"/>
      <c r="BE37" s="191">
        <f t="shared" si="8"/>
        <v>24000</v>
      </c>
      <c r="BF37" s="201">
        <f t="shared" si="9"/>
        <v>0</v>
      </c>
    </row>
    <row r="38" spans="1:58" s="2" customFormat="1" ht="38.25">
      <c r="A38" s="123" t="s">
        <v>129</v>
      </c>
      <c r="B38" s="21">
        <v>2.1</v>
      </c>
      <c r="C38" s="216" t="s">
        <v>73</v>
      </c>
      <c r="D38" s="156">
        <v>40000</v>
      </c>
      <c r="E38" s="314">
        <f t="shared" si="6"/>
        <v>7213.11475409836</v>
      </c>
      <c r="F38" s="341">
        <v>0.9682</v>
      </c>
      <c r="G38" s="211" t="s">
        <v>218</v>
      </c>
      <c r="H38" s="107"/>
      <c r="I38" s="107"/>
      <c r="J38" s="107"/>
      <c r="K38" s="66">
        <f>D38*I10</f>
        <v>12000</v>
      </c>
      <c r="L38" s="83"/>
      <c r="M38" s="83"/>
      <c r="N38" s="87">
        <f>D38-K38</f>
        <v>28000</v>
      </c>
      <c r="O38" s="87"/>
      <c r="P38" s="87"/>
      <c r="Q38" s="70"/>
      <c r="R38" s="74"/>
      <c r="S38" s="149"/>
      <c r="T38" s="70"/>
      <c r="U38" s="70"/>
      <c r="V38" s="70"/>
      <c r="W38" s="70"/>
      <c r="X38" s="70"/>
      <c r="Y38" s="70"/>
      <c r="Z38" s="70"/>
      <c r="AA38" s="70"/>
      <c r="AB38" s="70"/>
      <c r="AC38" s="70"/>
      <c r="AD38" s="120"/>
      <c r="AE38" s="73"/>
      <c r="AF38" s="70"/>
      <c r="AG38" s="70"/>
      <c r="AH38" s="70"/>
      <c r="AI38" s="70"/>
      <c r="AJ38" s="70"/>
      <c r="AK38" s="70"/>
      <c r="AL38" s="70"/>
      <c r="AM38" s="70"/>
      <c r="AN38" s="70"/>
      <c r="AO38" s="70"/>
      <c r="AP38" s="74"/>
      <c r="AQ38" s="149"/>
      <c r="AR38" s="70"/>
      <c r="AS38" s="70"/>
      <c r="AT38" s="70"/>
      <c r="AU38" s="70"/>
      <c r="AV38" s="70"/>
      <c r="AW38" s="70"/>
      <c r="AX38" s="75"/>
      <c r="AY38" s="70"/>
      <c r="AZ38" s="70"/>
      <c r="BA38" s="70"/>
      <c r="BB38" s="74"/>
      <c r="BC38" s="138"/>
      <c r="BD38" s="193"/>
      <c r="BE38" s="191">
        <f t="shared" si="8"/>
        <v>40000</v>
      </c>
      <c r="BF38" s="201">
        <f t="shared" si="9"/>
        <v>0</v>
      </c>
    </row>
    <row r="39" spans="1:58" s="2" customFormat="1" ht="38.25">
      <c r="A39" s="123" t="s">
        <v>129</v>
      </c>
      <c r="B39" s="21">
        <v>2.1</v>
      </c>
      <c r="C39" s="216" t="s">
        <v>74</v>
      </c>
      <c r="D39" s="156">
        <v>30000</v>
      </c>
      <c r="E39" s="314">
        <f t="shared" si="6"/>
        <v>5409.836065573771</v>
      </c>
      <c r="F39" s="341">
        <v>0.9682</v>
      </c>
      <c r="G39" s="73" t="s">
        <v>218</v>
      </c>
      <c r="H39" s="97"/>
      <c r="I39" s="96"/>
      <c r="J39" s="96"/>
      <c r="K39" s="66">
        <f>D39*I10</f>
        <v>9000</v>
      </c>
      <c r="L39" s="83">
        <f>D39-K39</f>
        <v>21000</v>
      </c>
      <c r="N39" s="59"/>
      <c r="O39" s="46"/>
      <c r="P39" s="88"/>
      <c r="Q39" s="70"/>
      <c r="R39" s="74"/>
      <c r="S39" s="149"/>
      <c r="T39" s="70"/>
      <c r="U39" s="70"/>
      <c r="V39" s="70"/>
      <c r="W39" s="70"/>
      <c r="X39" s="70"/>
      <c r="Y39" s="70"/>
      <c r="Z39" s="70"/>
      <c r="AA39" s="70"/>
      <c r="AB39" s="70"/>
      <c r="AC39" s="70"/>
      <c r="AD39" s="120"/>
      <c r="AE39" s="73"/>
      <c r="AF39" s="70"/>
      <c r="AG39" s="70"/>
      <c r="AH39" s="70"/>
      <c r="AI39" s="70"/>
      <c r="AJ39" s="70"/>
      <c r="AK39" s="70"/>
      <c r="AL39" s="70"/>
      <c r="AM39" s="70"/>
      <c r="AN39" s="70"/>
      <c r="AO39" s="70"/>
      <c r="AP39" s="74"/>
      <c r="AQ39" s="149"/>
      <c r="AR39" s="70"/>
      <c r="AS39" s="70"/>
      <c r="AT39" s="70"/>
      <c r="AU39" s="70"/>
      <c r="AV39" s="70"/>
      <c r="AW39" s="70"/>
      <c r="AX39" s="75"/>
      <c r="AY39" s="70"/>
      <c r="AZ39" s="70"/>
      <c r="BA39" s="70"/>
      <c r="BB39" s="74"/>
      <c r="BC39" s="138"/>
      <c r="BD39" s="193"/>
      <c r="BE39" s="191">
        <f t="shared" si="8"/>
        <v>30000</v>
      </c>
      <c r="BF39" s="201">
        <f t="shared" si="9"/>
        <v>0</v>
      </c>
    </row>
    <row r="40" spans="1:58" s="2" customFormat="1" ht="48">
      <c r="A40" s="123" t="s">
        <v>129</v>
      </c>
      <c r="B40" s="21">
        <v>2.1</v>
      </c>
      <c r="C40" s="216" t="s">
        <v>146</v>
      </c>
      <c r="D40" s="158">
        <v>95000</v>
      </c>
      <c r="E40" s="314">
        <f t="shared" si="6"/>
        <v>17131.147540983606</v>
      </c>
      <c r="F40" s="341">
        <v>0.9682</v>
      </c>
      <c r="G40" s="62"/>
      <c r="H40" s="63"/>
      <c r="I40" s="63"/>
      <c r="J40" s="63"/>
      <c r="K40" s="63"/>
      <c r="L40" s="63"/>
      <c r="M40" s="63"/>
      <c r="N40" s="63"/>
      <c r="O40" s="63"/>
      <c r="P40" s="63"/>
      <c r="Q40" s="63"/>
      <c r="R40" s="64"/>
      <c r="S40" s="150"/>
      <c r="T40" s="63"/>
      <c r="U40" s="63"/>
      <c r="V40" s="63"/>
      <c r="W40" s="63"/>
      <c r="X40" s="63"/>
      <c r="Y40" s="63"/>
      <c r="Z40" s="63"/>
      <c r="AA40" s="63"/>
      <c r="AB40" s="63"/>
      <c r="AC40" s="63"/>
      <c r="AD40" s="76"/>
      <c r="AE40" s="62"/>
      <c r="AF40" s="63"/>
      <c r="AG40" s="63"/>
      <c r="AH40" s="63"/>
      <c r="AI40" s="63"/>
      <c r="AJ40" s="63"/>
      <c r="AK40" s="46"/>
      <c r="AL40" s="46"/>
      <c r="AM40" s="107"/>
      <c r="AN40" s="107"/>
      <c r="AO40" s="107"/>
      <c r="AP40" s="67">
        <f>D40*I10</f>
        <v>28500</v>
      </c>
      <c r="AQ40" s="148"/>
      <c r="AR40" s="84"/>
      <c r="AS40" s="72"/>
      <c r="AT40" s="59">
        <f>D40-AP40</f>
        <v>66500</v>
      </c>
      <c r="AU40" s="63"/>
      <c r="AV40" s="63"/>
      <c r="AW40" s="63"/>
      <c r="AX40" s="61"/>
      <c r="AY40" s="63"/>
      <c r="AZ40" s="63"/>
      <c r="BA40" s="63"/>
      <c r="BB40" s="64"/>
      <c r="BC40" s="138"/>
      <c r="BD40" s="193"/>
      <c r="BE40" s="191">
        <f t="shared" si="8"/>
        <v>95000</v>
      </c>
      <c r="BF40" s="201">
        <f t="shared" si="9"/>
        <v>0</v>
      </c>
    </row>
    <row r="41" spans="1:58" s="2" customFormat="1" ht="38.25">
      <c r="A41" s="123" t="s">
        <v>129</v>
      </c>
      <c r="B41" s="21">
        <v>2.1</v>
      </c>
      <c r="C41" s="216" t="s">
        <v>147</v>
      </c>
      <c r="D41" s="156">
        <v>25000</v>
      </c>
      <c r="E41" s="314">
        <f t="shared" si="6"/>
        <v>4508.196721311476</v>
      </c>
      <c r="F41" s="341">
        <v>0.9682</v>
      </c>
      <c r="G41" s="62"/>
      <c r="H41" s="63"/>
      <c r="I41" s="63"/>
      <c r="J41" s="63"/>
      <c r="K41" s="63"/>
      <c r="L41" s="63"/>
      <c r="M41" s="63"/>
      <c r="N41" s="63"/>
      <c r="O41" s="63"/>
      <c r="P41" s="63"/>
      <c r="Q41" s="63"/>
      <c r="R41" s="64"/>
      <c r="S41" s="150"/>
      <c r="T41" s="63"/>
      <c r="U41" s="63"/>
      <c r="V41" s="63"/>
      <c r="W41" s="63"/>
      <c r="X41" s="63"/>
      <c r="Y41" s="63"/>
      <c r="Z41" s="63"/>
      <c r="AA41" s="63"/>
      <c r="AB41" s="107"/>
      <c r="AC41" s="107"/>
      <c r="AD41" s="257"/>
      <c r="AE41" s="68">
        <f>D41*I10</f>
        <v>7500</v>
      </c>
      <c r="AF41" s="66"/>
      <c r="AG41" s="66"/>
      <c r="AH41" s="66" t="s">
        <v>64</v>
      </c>
      <c r="AI41" s="66"/>
      <c r="AJ41" s="63">
        <f>D41-AE41</f>
        <v>17500</v>
      </c>
      <c r="AK41" s="46"/>
      <c r="AL41" s="63"/>
      <c r="AM41" s="63"/>
      <c r="AN41" s="63"/>
      <c r="AO41" s="63"/>
      <c r="AP41" s="64"/>
      <c r="AQ41" s="150"/>
      <c r="AR41" s="63"/>
      <c r="AS41" s="63"/>
      <c r="AT41" s="63"/>
      <c r="AU41" s="63"/>
      <c r="AV41" s="63"/>
      <c r="AW41" s="63"/>
      <c r="AX41" s="61"/>
      <c r="AY41" s="63"/>
      <c r="AZ41" s="63"/>
      <c r="BA41" s="63"/>
      <c r="BB41" s="64"/>
      <c r="BC41" s="138"/>
      <c r="BD41" s="193"/>
      <c r="BE41" s="191">
        <f t="shared" si="8"/>
        <v>25000</v>
      </c>
      <c r="BF41" s="201">
        <f t="shared" si="9"/>
        <v>0</v>
      </c>
    </row>
    <row r="42" spans="1:58" s="2" customFormat="1" ht="48">
      <c r="A42" s="123" t="s">
        <v>129</v>
      </c>
      <c r="B42" s="21">
        <v>2.1</v>
      </c>
      <c r="C42" s="216" t="s">
        <v>75</v>
      </c>
      <c r="D42" s="156">
        <v>70000</v>
      </c>
      <c r="E42" s="314">
        <f t="shared" si="6"/>
        <v>12622.95081967213</v>
      </c>
      <c r="F42" s="341">
        <v>0.9682</v>
      </c>
      <c r="G42" s="62"/>
      <c r="H42" s="63"/>
      <c r="I42" s="63"/>
      <c r="J42" s="63"/>
      <c r="K42" s="63"/>
      <c r="L42" s="63"/>
      <c r="M42" s="63"/>
      <c r="N42" s="63"/>
      <c r="O42" s="63"/>
      <c r="P42" s="63"/>
      <c r="Q42" s="63"/>
      <c r="R42" s="64"/>
      <c r="S42" s="150"/>
      <c r="T42" s="63"/>
      <c r="U42" s="63"/>
      <c r="V42" s="63"/>
      <c r="W42" s="63"/>
      <c r="X42" s="63"/>
      <c r="Y42" s="63"/>
      <c r="Z42" s="63"/>
      <c r="AA42" s="63"/>
      <c r="AB42" s="107"/>
      <c r="AC42" s="107"/>
      <c r="AD42" s="257"/>
      <c r="AE42" s="68">
        <f>D42*I10</f>
        <v>21000</v>
      </c>
      <c r="AF42" s="66"/>
      <c r="AG42" s="66"/>
      <c r="AH42" s="63">
        <f>D42-AE42</f>
        <v>49000</v>
      </c>
      <c r="AI42" s="59"/>
      <c r="AJ42" s="59"/>
      <c r="AK42" s="46"/>
      <c r="AL42" s="63"/>
      <c r="AM42" s="63"/>
      <c r="AN42" s="63"/>
      <c r="AO42" s="63"/>
      <c r="AP42" s="64"/>
      <c r="AQ42" s="150"/>
      <c r="AR42" s="63"/>
      <c r="AS42" s="63"/>
      <c r="AT42" s="63"/>
      <c r="AU42" s="63"/>
      <c r="AV42" s="63"/>
      <c r="AW42" s="63"/>
      <c r="AX42" s="61"/>
      <c r="AY42" s="63"/>
      <c r="AZ42" s="63"/>
      <c r="BA42" s="63"/>
      <c r="BB42" s="64"/>
      <c r="BC42" s="138"/>
      <c r="BD42" s="193"/>
      <c r="BE42" s="191">
        <f t="shared" si="8"/>
        <v>70000</v>
      </c>
      <c r="BF42" s="201">
        <f t="shared" si="9"/>
        <v>0</v>
      </c>
    </row>
    <row r="43" spans="1:58" s="2" customFormat="1" ht="38.25">
      <c r="A43" s="123" t="s">
        <v>129</v>
      </c>
      <c r="B43" s="21">
        <v>2.1</v>
      </c>
      <c r="C43" s="216" t="s">
        <v>148</v>
      </c>
      <c r="D43" s="156">
        <v>87890</v>
      </c>
      <c r="E43" s="314">
        <f t="shared" si="6"/>
        <v>15849.016393442624</v>
      </c>
      <c r="F43" s="341">
        <v>0.9682</v>
      </c>
      <c r="G43" s="62"/>
      <c r="H43" s="63"/>
      <c r="I43" s="63"/>
      <c r="J43" s="63"/>
      <c r="K43" s="63"/>
      <c r="L43" s="63"/>
      <c r="M43" s="63"/>
      <c r="N43" s="63"/>
      <c r="O43" s="63"/>
      <c r="P43" s="63"/>
      <c r="Q43" s="63"/>
      <c r="R43" s="64"/>
      <c r="S43" s="150"/>
      <c r="T43" s="63"/>
      <c r="U43" s="63"/>
      <c r="V43" s="63"/>
      <c r="W43" s="63"/>
      <c r="X43" s="63"/>
      <c r="Y43" s="63"/>
      <c r="Z43" s="63"/>
      <c r="AA43" s="63"/>
      <c r="AB43" s="63"/>
      <c r="AC43" s="63"/>
      <c r="AD43" s="76"/>
      <c r="AE43" s="62"/>
      <c r="AF43" s="63"/>
      <c r="AG43" s="63"/>
      <c r="AH43" s="63"/>
      <c r="AI43" s="63"/>
      <c r="AJ43" s="107"/>
      <c r="AK43" s="107"/>
      <c r="AL43" s="107"/>
      <c r="AM43" s="66">
        <f>D43*I10</f>
        <v>26367</v>
      </c>
      <c r="AN43" s="66"/>
      <c r="AO43" s="66"/>
      <c r="AP43" s="67" t="s">
        <v>64</v>
      </c>
      <c r="AQ43" s="148"/>
      <c r="AR43" s="66"/>
      <c r="AS43" s="63">
        <f>D43-AM43</f>
        <v>61523</v>
      </c>
      <c r="AU43" s="63"/>
      <c r="AV43" s="63"/>
      <c r="AW43" s="63"/>
      <c r="AX43" s="61"/>
      <c r="AY43" s="63"/>
      <c r="AZ43" s="63"/>
      <c r="BA43" s="63"/>
      <c r="BB43" s="64"/>
      <c r="BC43" s="138"/>
      <c r="BD43" s="193"/>
      <c r="BE43" s="191">
        <f t="shared" si="8"/>
        <v>87890</v>
      </c>
      <c r="BF43" s="201">
        <f t="shared" si="9"/>
        <v>0</v>
      </c>
    </row>
    <row r="44" spans="1:58" s="2" customFormat="1" ht="60">
      <c r="A44" s="123" t="s">
        <v>129</v>
      </c>
      <c r="B44" s="21">
        <v>2.1</v>
      </c>
      <c r="C44" s="216" t="s">
        <v>149</v>
      </c>
      <c r="D44" s="158">
        <v>45000</v>
      </c>
      <c r="E44" s="314">
        <f t="shared" si="6"/>
        <v>8114.754098360656</v>
      </c>
      <c r="F44" s="341">
        <v>0.9682</v>
      </c>
      <c r="G44" s="62"/>
      <c r="H44" s="63"/>
      <c r="I44" s="63"/>
      <c r="J44" s="63"/>
      <c r="K44" s="63"/>
      <c r="L44" s="63"/>
      <c r="M44" s="63"/>
      <c r="N44" s="63"/>
      <c r="O44" s="63"/>
      <c r="P44" s="63"/>
      <c r="Q44" s="63"/>
      <c r="R44" s="64"/>
      <c r="S44" s="150"/>
      <c r="T44" s="63"/>
      <c r="U44" s="63"/>
      <c r="V44" s="63"/>
      <c r="W44" s="63"/>
      <c r="X44" s="63"/>
      <c r="Y44" s="63"/>
      <c r="Z44" s="63"/>
      <c r="AA44" s="63"/>
      <c r="AB44" s="107"/>
      <c r="AC44" s="107"/>
      <c r="AD44" s="257"/>
      <c r="AE44" s="68">
        <f>D44*I10</f>
        <v>13500</v>
      </c>
      <c r="AF44" s="66"/>
      <c r="AG44" s="66"/>
      <c r="AH44" s="59">
        <f>D44-AE44</f>
        <v>31500</v>
      </c>
      <c r="AI44" s="59"/>
      <c r="AJ44" s="59"/>
      <c r="AK44" s="63"/>
      <c r="AL44" s="63"/>
      <c r="AM44" s="63"/>
      <c r="AN44" s="63"/>
      <c r="AO44" s="63"/>
      <c r="AP44" s="64"/>
      <c r="AQ44" s="150"/>
      <c r="AR44" s="63"/>
      <c r="AS44" s="63"/>
      <c r="AT44" s="63"/>
      <c r="AU44" s="63"/>
      <c r="AV44" s="63"/>
      <c r="AW44" s="63"/>
      <c r="AX44" s="61"/>
      <c r="AY44" s="63"/>
      <c r="AZ44" s="63"/>
      <c r="BA44" s="63"/>
      <c r="BB44" s="64"/>
      <c r="BC44" s="138"/>
      <c r="BD44" s="193"/>
      <c r="BE44" s="191">
        <f t="shared" si="8"/>
        <v>45000</v>
      </c>
      <c r="BF44" s="201">
        <f t="shared" si="9"/>
        <v>0</v>
      </c>
    </row>
    <row r="45" spans="1:58" s="2" customFormat="1" ht="38.25">
      <c r="A45" s="123" t="s">
        <v>129</v>
      </c>
      <c r="B45" s="21">
        <v>3.1</v>
      </c>
      <c r="C45" s="216" t="s">
        <v>7</v>
      </c>
      <c r="D45" s="156">
        <f>20*2000</f>
        <v>40000</v>
      </c>
      <c r="E45" s="314">
        <f t="shared" si="6"/>
        <v>7213.11475409836</v>
      </c>
      <c r="F45" s="341">
        <v>0.981</v>
      </c>
      <c r="G45" s="211"/>
      <c r="I45" s="124"/>
      <c r="J45" s="107"/>
      <c r="K45" s="107"/>
      <c r="L45" s="66">
        <f>D45/2*I10</f>
        <v>6000</v>
      </c>
      <c r="M45" s="66"/>
      <c r="N45" s="66"/>
      <c r="O45" s="63">
        <f>D45*0.5-L45</f>
        <v>14000</v>
      </c>
      <c r="P45" s="63"/>
      <c r="Q45" s="63"/>
      <c r="R45" s="64"/>
      <c r="S45" s="150"/>
      <c r="T45" s="63"/>
      <c r="U45" s="63"/>
      <c r="V45" s="63"/>
      <c r="W45" s="63"/>
      <c r="X45" s="63"/>
      <c r="Y45" s="63"/>
      <c r="Z45" s="63"/>
      <c r="AA45" s="63"/>
      <c r="AB45" s="107"/>
      <c r="AC45" s="107"/>
      <c r="AD45" s="257"/>
      <c r="AE45" s="68">
        <f>D45*0.25*I10</f>
        <v>3000</v>
      </c>
      <c r="AF45" s="66"/>
      <c r="AG45" s="66"/>
      <c r="AH45" s="63">
        <f>D45*0.25-AE45</f>
        <v>7000</v>
      </c>
      <c r="AI45" s="63"/>
      <c r="AJ45" s="107"/>
      <c r="AK45" s="107"/>
      <c r="AL45" s="107"/>
      <c r="AM45" s="66">
        <f>D45*0.25*I10</f>
        <v>3000</v>
      </c>
      <c r="AN45" s="66"/>
      <c r="AO45" s="66"/>
      <c r="AP45" s="64">
        <f>D45*0.25-AM45</f>
        <v>7000</v>
      </c>
      <c r="AR45" s="63"/>
      <c r="AS45" s="63"/>
      <c r="AT45" s="63"/>
      <c r="AU45" s="63"/>
      <c r="AV45" s="63"/>
      <c r="AW45" s="63"/>
      <c r="AX45" s="61"/>
      <c r="AY45" s="63"/>
      <c r="AZ45" s="63"/>
      <c r="BA45" s="63"/>
      <c r="BB45" s="64"/>
      <c r="BC45" s="138"/>
      <c r="BD45" s="193"/>
      <c r="BE45" s="191">
        <f t="shared" si="8"/>
        <v>40000</v>
      </c>
      <c r="BF45" s="201">
        <f t="shared" si="9"/>
        <v>0</v>
      </c>
    </row>
    <row r="46" spans="1:58" s="6" customFormat="1" ht="14.25">
      <c r="A46" s="122" t="s">
        <v>124</v>
      </c>
      <c r="B46" s="17" t="s">
        <v>130</v>
      </c>
      <c r="C46" s="30"/>
      <c r="D46" s="157"/>
      <c r="E46" s="315"/>
      <c r="F46" s="342"/>
      <c r="G46" s="352"/>
      <c r="H46" s="53"/>
      <c r="I46" s="53"/>
      <c r="J46" s="54"/>
      <c r="K46" s="54"/>
      <c r="L46" s="54"/>
      <c r="M46" s="54"/>
      <c r="N46" s="54"/>
      <c r="O46" s="54"/>
      <c r="P46" s="54"/>
      <c r="Q46" s="54"/>
      <c r="R46" s="55"/>
      <c r="S46" s="145"/>
      <c r="T46" s="54"/>
      <c r="U46" s="54"/>
      <c r="V46" s="54"/>
      <c r="W46" s="54"/>
      <c r="X46" s="54"/>
      <c r="Y46" s="54"/>
      <c r="Z46" s="54"/>
      <c r="AA46" s="54"/>
      <c r="AB46" s="54"/>
      <c r="AC46" s="54"/>
      <c r="AD46" s="132"/>
      <c r="AE46" s="56"/>
      <c r="AF46" s="54"/>
      <c r="AG46" s="54"/>
      <c r="AH46" s="54"/>
      <c r="AI46" s="54"/>
      <c r="AJ46" s="54"/>
      <c r="AK46" s="54"/>
      <c r="AL46" s="54"/>
      <c r="AM46" s="54"/>
      <c r="AN46" s="54"/>
      <c r="AO46" s="54"/>
      <c r="AP46" s="55"/>
      <c r="AQ46" s="145"/>
      <c r="AR46" s="54"/>
      <c r="AS46" s="54"/>
      <c r="AT46" s="54"/>
      <c r="AU46" s="54"/>
      <c r="AV46" s="54"/>
      <c r="AW46" s="54"/>
      <c r="AX46" s="44"/>
      <c r="AY46" s="54"/>
      <c r="AZ46" s="54"/>
      <c r="BA46" s="54"/>
      <c r="BB46" s="55"/>
      <c r="BC46" s="192"/>
      <c r="BD46" s="187"/>
      <c r="BE46" s="191">
        <f t="shared" si="8"/>
        <v>0</v>
      </c>
      <c r="BF46" s="201">
        <f t="shared" si="9"/>
        <v>0</v>
      </c>
    </row>
    <row r="47" spans="1:58" ht="36">
      <c r="A47" s="109" t="s">
        <v>131</v>
      </c>
      <c r="B47" s="12">
        <v>1.1</v>
      </c>
      <c r="C47" s="29" t="s">
        <v>153</v>
      </c>
      <c r="D47" s="156">
        <v>4880</v>
      </c>
      <c r="E47" s="314">
        <f t="shared" si="6"/>
        <v>880</v>
      </c>
      <c r="F47" s="341">
        <v>0.9891</v>
      </c>
      <c r="G47" s="80"/>
      <c r="H47" s="97"/>
      <c r="I47" s="97"/>
      <c r="J47" s="57"/>
      <c r="K47" s="85">
        <f>D47*I10</f>
        <v>1464</v>
      </c>
      <c r="L47" s="85"/>
      <c r="M47" s="85"/>
      <c r="N47" s="85"/>
      <c r="O47" s="85"/>
      <c r="P47" s="85"/>
      <c r="Q47" s="77">
        <f>D47-K47</f>
        <v>3416</v>
      </c>
      <c r="R47" s="82"/>
      <c r="S47" s="151"/>
      <c r="T47" s="43"/>
      <c r="U47" s="43"/>
      <c r="V47" s="43"/>
      <c r="W47" s="43"/>
      <c r="X47" s="43"/>
      <c r="Y47" s="43"/>
      <c r="Z47" s="43"/>
      <c r="AA47" s="43"/>
      <c r="AB47" s="43"/>
      <c r="AC47" s="43"/>
      <c r="AD47" s="86"/>
      <c r="AE47" s="78"/>
      <c r="AF47" s="43"/>
      <c r="AG47" s="43"/>
      <c r="AH47" s="43"/>
      <c r="AI47" s="43"/>
      <c r="AJ47" s="43"/>
      <c r="AK47" s="43"/>
      <c r="AL47" s="43"/>
      <c r="AM47" s="43"/>
      <c r="AN47" s="43"/>
      <c r="AO47" s="43"/>
      <c r="AP47" s="79"/>
      <c r="AQ47" s="151"/>
      <c r="AR47" s="43"/>
      <c r="AS47" s="43"/>
      <c r="AT47" s="43"/>
      <c r="AU47" s="43"/>
      <c r="AV47" s="43"/>
      <c r="AW47" s="43"/>
      <c r="AX47" s="44"/>
      <c r="AY47" s="43"/>
      <c r="AZ47" s="43"/>
      <c r="BA47" s="43"/>
      <c r="BB47" s="79"/>
      <c r="BC47" s="138"/>
      <c r="BE47" s="191">
        <f t="shared" si="8"/>
        <v>4880</v>
      </c>
      <c r="BF47" s="201">
        <f t="shared" si="9"/>
        <v>0</v>
      </c>
    </row>
    <row r="48" spans="1:58" s="4" customFormat="1" ht="24">
      <c r="A48" s="109" t="s">
        <v>131</v>
      </c>
      <c r="B48" s="11">
        <v>2.1</v>
      </c>
      <c r="C48" s="221" t="s">
        <v>76</v>
      </c>
      <c r="D48" s="159">
        <v>125500</v>
      </c>
      <c r="E48" s="314">
        <f t="shared" si="6"/>
        <v>22631.147540983606</v>
      </c>
      <c r="F48" s="343">
        <v>1</v>
      </c>
      <c r="G48" s="80"/>
      <c r="H48" s="97"/>
      <c r="I48" s="97"/>
      <c r="J48" s="97"/>
      <c r="K48" s="66">
        <f>D48*I10</f>
        <v>37650</v>
      </c>
      <c r="L48" s="98"/>
      <c r="M48" s="66"/>
      <c r="N48" s="71"/>
      <c r="O48" s="110">
        <f aca="true" t="shared" si="10" ref="O48:O58">D48-K48</f>
        <v>87850</v>
      </c>
      <c r="P48" s="89"/>
      <c r="Q48" s="81"/>
      <c r="R48" s="160"/>
      <c r="S48" s="108"/>
      <c r="T48" s="81"/>
      <c r="U48" s="81"/>
      <c r="V48" s="81"/>
      <c r="W48" s="81"/>
      <c r="X48" s="81"/>
      <c r="Y48" s="81"/>
      <c r="Z48" s="81"/>
      <c r="AA48" s="81"/>
      <c r="AB48" s="81"/>
      <c r="AC48" s="81"/>
      <c r="AD48" s="134"/>
      <c r="AE48" s="80"/>
      <c r="AF48" s="81"/>
      <c r="AG48" s="81"/>
      <c r="AH48" s="81"/>
      <c r="AI48" s="81"/>
      <c r="AJ48" s="81"/>
      <c r="AK48" s="81"/>
      <c r="AL48" s="81"/>
      <c r="AM48" s="81"/>
      <c r="AN48" s="81"/>
      <c r="AO48" s="81"/>
      <c r="AP48" s="82"/>
      <c r="AQ48" s="108"/>
      <c r="AR48" s="81"/>
      <c r="AS48" s="81"/>
      <c r="AT48" s="81"/>
      <c r="AU48" s="81"/>
      <c r="AV48" s="81"/>
      <c r="AW48" s="81"/>
      <c r="AX48" s="75"/>
      <c r="AY48" s="81"/>
      <c r="AZ48" s="81"/>
      <c r="BA48" s="81"/>
      <c r="BB48" s="82"/>
      <c r="BC48" s="138"/>
      <c r="BD48" s="193"/>
      <c r="BE48" s="191">
        <f t="shared" si="8"/>
        <v>125500</v>
      </c>
      <c r="BF48" s="201">
        <f t="shared" si="9"/>
        <v>0</v>
      </c>
    </row>
    <row r="49" spans="1:58" s="4" customFormat="1" ht="36">
      <c r="A49" s="125" t="s">
        <v>131</v>
      </c>
      <c r="B49" s="11">
        <v>2.1</v>
      </c>
      <c r="C49" s="217" t="s">
        <v>77</v>
      </c>
      <c r="D49" s="158">
        <v>78200</v>
      </c>
      <c r="E49" s="314">
        <f t="shared" si="6"/>
        <v>14101.639344262296</v>
      </c>
      <c r="F49" s="343">
        <v>0.9604</v>
      </c>
      <c r="G49" s="80"/>
      <c r="H49" s="97"/>
      <c r="I49" s="97"/>
      <c r="J49" s="97"/>
      <c r="K49" s="66">
        <f>D49*I10</f>
        <v>23460</v>
      </c>
      <c r="L49" s="98"/>
      <c r="M49" s="66"/>
      <c r="N49" s="71"/>
      <c r="O49" s="77">
        <f t="shared" si="10"/>
        <v>54740</v>
      </c>
      <c r="P49" s="89"/>
      <c r="Q49" s="81"/>
      <c r="R49" s="160"/>
      <c r="S49" s="108"/>
      <c r="T49" s="81"/>
      <c r="U49" s="81"/>
      <c r="V49" s="81"/>
      <c r="W49" s="81"/>
      <c r="X49" s="81"/>
      <c r="Y49" s="81"/>
      <c r="Z49" s="81"/>
      <c r="AA49" s="81"/>
      <c r="AB49" s="81"/>
      <c r="AC49" s="81"/>
      <c r="AD49" s="134"/>
      <c r="AE49" s="80"/>
      <c r="AF49" s="81"/>
      <c r="AG49" s="81"/>
      <c r="AH49" s="81"/>
      <c r="AI49" s="81"/>
      <c r="AJ49" s="81"/>
      <c r="AK49" s="81"/>
      <c r="AL49" s="81"/>
      <c r="AM49" s="81"/>
      <c r="AN49" s="81"/>
      <c r="AO49" s="81"/>
      <c r="AP49" s="82"/>
      <c r="AQ49" s="108"/>
      <c r="AR49" s="81"/>
      <c r="AS49" s="81"/>
      <c r="AT49" s="81"/>
      <c r="AU49" s="81"/>
      <c r="AV49" s="81"/>
      <c r="AW49" s="81"/>
      <c r="AX49" s="75"/>
      <c r="AY49" s="81"/>
      <c r="AZ49" s="81"/>
      <c r="BA49" s="81"/>
      <c r="BB49" s="82"/>
      <c r="BC49" s="138"/>
      <c r="BD49" s="193"/>
      <c r="BE49" s="191">
        <f t="shared" si="8"/>
        <v>78200</v>
      </c>
      <c r="BF49" s="201">
        <f t="shared" si="9"/>
        <v>0</v>
      </c>
    </row>
    <row r="50" spans="1:58" s="4" customFormat="1" ht="25.5">
      <c r="A50" s="125" t="s">
        <v>131</v>
      </c>
      <c r="B50" s="11">
        <v>2.1</v>
      </c>
      <c r="C50" s="217" t="s">
        <v>78</v>
      </c>
      <c r="D50" s="158">
        <v>30500</v>
      </c>
      <c r="E50" s="314">
        <f t="shared" si="6"/>
        <v>5500</v>
      </c>
      <c r="F50" s="343">
        <v>1</v>
      </c>
      <c r="G50" s="80"/>
      <c r="H50" s="97"/>
      <c r="I50" s="97"/>
      <c r="J50" s="97"/>
      <c r="K50" s="66">
        <f>D50*I10</f>
        <v>9150</v>
      </c>
      <c r="L50" s="98"/>
      <c r="M50" s="66"/>
      <c r="N50" s="71"/>
      <c r="O50" s="77">
        <f t="shared" si="10"/>
        <v>21350</v>
      </c>
      <c r="P50" s="89"/>
      <c r="Q50" s="81"/>
      <c r="R50" s="160"/>
      <c r="S50" s="108"/>
      <c r="T50" s="81"/>
      <c r="U50" s="81"/>
      <c r="V50" s="81"/>
      <c r="W50" s="81"/>
      <c r="X50" s="81"/>
      <c r="Y50" s="81"/>
      <c r="Z50" s="81"/>
      <c r="AA50" s="81"/>
      <c r="AB50" s="81"/>
      <c r="AC50" s="81"/>
      <c r="AD50" s="134"/>
      <c r="AE50" s="80"/>
      <c r="AF50" s="81"/>
      <c r="AG50" s="81"/>
      <c r="AH50" s="81"/>
      <c r="AI50" s="81"/>
      <c r="AJ50" s="81"/>
      <c r="AK50" s="81"/>
      <c r="AL50" s="81"/>
      <c r="AM50" s="81"/>
      <c r="AN50" s="81"/>
      <c r="AO50" s="81"/>
      <c r="AP50" s="82"/>
      <c r="AQ50" s="108"/>
      <c r="AR50" s="81"/>
      <c r="AS50" s="81"/>
      <c r="AT50" s="81"/>
      <c r="AU50" s="81"/>
      <c r="AV50" s="81"/>
      <c r="AW50" s="81"/>
      <c r="AX50" s="75"/>
      <c r="AY50" s="81"/>
      <c r="AZ50" s="81"/>
      <c r="BA50" s="81"/>
      <c r="BB50" s="82"/>
      <c r="BC50" s="138"/>
      <c r="BD50" s="193"/>
      <c r="BE50" s="191">
        <f t="shared" si="8"/>
        <v>30500</v>
      </c>
      <c r="BF50" s="201">
        <f t="shared" si="9"/>
        <v>0</v>
      </c>
    </row>
    <row r="51" spans="1:58" s="4" customFormat="1" ht="25.5">
      <c r="A51" s="125" t="s">
        <v>131</v>
      </c>
      <c r="B51" s="11">
        <v>2.1</v>
      </c>
      <c r="C51" s="217" t="s">
        <v>204</v>
      </c>
      <c r="D51" s="158">
        <v>42304</v>
      </c>
      <c r="E51" s="314">
        <f t="shared" si="6"/>
        <v>7628.5901639344265</v>
      </c>
      <c r="F51" s="343">
        <v>1</v>
      </c>
      <c r="G51" s="80"/>
      <c r="H51" s="97"/>
      <c r="I51" s="97"/>
      <c r="J51" s="97"/>
      <c r="K51" s="66">
        <f>D51*I10</f>
        <v>12691.199999999999</v>
      </c>
      <c r="L51" s="98"/>
      <c r="M51" s="66"/>
      <c r="N51" s="71" t="s">
        <v>169</v>
      </c>
      <c r="O51" s="77">
        <f t="shared" si="10"/>
        <v>29612.800000000003</v>
      </c>
      <c r="P51" s="89"/>
      <c r="Q51" s="81"/>
      <c r="R51" s="160"/>
      <c r="S51" s="108"/>
      <c r="T51" s="81"/>
      <c r="U51" s="81"/>
      <c r="V51" s="81"/>
      <c r="W51" s="81"/>
      <c r="X51" s="81"/>
      <c r="Y51" s="81"/>
      <c r="Z51" s="81"/>
      <c r="AA51" s="81"/>
      <c r="AB51" s="81"/>
      <c r="AC51" s="81"/>
      <c r="AD51" s="134"/>
      <c r="AE51" s="80"/>
      <c r="AF51" s="81"/>
      <c r="AG51" s="81"/>
      <c r="AH51" s="81"/>
      <c r="AI51" s="81"/>
      <c r="AJ51" s="81"/>
      <c r="AK51" s="81"/>
      <c r="AL51" s="81"/>
      <c r="AM51" s="81"/>
      <c r="AN51" s="81"/>
      <c r="AO51" s="81"/>
      <c r="AP51" s="82"/>
      <c r="AQ51" s="108"/>
      <c r="AR51" s="81"/>
      <c r="AS51" s="81"/>
      <c r="AT51" s="81"/>
      <c r="AU51" s="81"/>
      <c r="AV51" s="81"/>
      <c r="AW51" s="81"/>
      <c r="AX51" s="75"/>
      <c r="AY51" s="81"/>
      <c r="AZ51" s="81"/>
      <c r="BA51" s="81"/>
      <c r="BB51" s="82"/>
      <c r="BC51" s="138"/>
      <c r="BD51" s="193"/>
      <c r="BE51" s="191">
        <f t="shared" si="8"/>
        <v>42304</v>
      </c>
      <c r="BF51" s="201">
        <f t="shared" si="9"/>
        <v>0</v>
      </c>
    </row>
    <row r="52" spans="1:58" s="4" customFormat="1" ht="36">
      <c r="A52" s="125" t="s">
        <v>131</v>
      </c>
      <c r="B52" s="11">
        <v>2.1</v>
      </c>
      <c r="C52" s="217" t="s">
        <v>79</v>
      </c>
      <c r="D52" s="158">
        <v>5000</v>
      </c>
      <c r="E52" s="314">
        <f t="shared" si="6"/>
        <v>901.639344262295</v>
      </c>
      <c r="F52" s="343">
        <v>1</v>
      </c>
      <c r="G52" s="80"/>
      <c r="H52" s="97"/>
      <c r="I52" s="97"/>
      <c r="J52" s="97"/>
      <c r="K52" s="66">
        <f>D52*I10</f>
        <v>1500</v>
      </c>
      <c r="L52" s="98"/>
      <c r="M52" s="66"/>
      <c r="N52" s="71"/>
      <c r="O52" s="77">
        <f t="shared" si="10"/>
        <v>3500</v>
      </c>
      <c r="P52" s="89"/>
      <c r="Q52" s="81"/>
      <c r="R52" s="160"/>
      <c r="S52" s="108"/>
      <c r="T52" s="81"/>
      <c r="U52" s="81"/>
      <c r="V52" s="81"/>
      <c r="W52" s="81"/>
      <c r="X52" s="81"/>
      <c r="Y52" s="81"/>
      <c r="Z52" s="81"/>
      <c r="AA52" s="81"/>
      <c r="AB52" s="81"/>
      <c r="AC52" s="81"/>
      <c r="AD52" s="134"/>
      <c r="AE52" s="80"/>
      <c r="AF52" s="81"/>
      <c r="AG52" s="81"/>
      <c r="AH52" s="81"/>
      <c r="AI52" s="81"/>
      <c r="AJ52" s="81"/>
      <c r="AK52" s="81"/>
      <c r="AL52" s="81"/>
      <c r="AM52" s="81"/>
      <c r="AN52" s="81"/>
      <c r="AO52" s="81"/>
      <c r="AP52" s="82"/>
      <c r="AQ52" s="108"/>
      <c r="AR52" s="81"/>
      <c r="AS52" s="81"/>
      <c r="AT52" s="81"/>
      <c r="AU52" s="81"/>
      <c r="AV52" s="81"/>
      <c r="AW52" s="81"/>
      <c r="AX52" s="75"/>
      <c r="AY52" s="81"/>
      <c r="AZ52" s="81"/>
      <c r="BA52" s="81"/>
      <c r="BB52" s="82"/>
      <c r="BC52" s="138"/>
      <c r="BD52" s="193"/>
      <c r="BE52" s="191">
        <f t="shared" si="8"/>
        <v>5000</v>
      </c>
      <c r="BF52" s="201">
        <f t="shared" si="9"/>
        <v>0</v>
      </c>
    </row>
    <row r="53" spans="1:58" s="4" customFormat="1" ht="25.5">
      <c r="A53" s="125" t="s">
        <v>131</v>
      </c>
      <c r="B53" s="11">
        <v>2.1</v>
      </c>
      <c r="C53" s="217" t="s">
        <v>80</v>
      </c>
      <c r="D53" s="158">
        <v>2500</v>
      </c>
      <c r="E53" s="314">
        <f t="shared" si="6"/>
        <v>450.8196721311475</v>
      </c>
      <c r="F53" s="343">
        <v>1</v>
      </c>
      <c r="G53" s="80"/>
      <c r="H53" s="97"/>
      <c r="I53" s="97"/>
      <c r="J53" s="97"/>
      <c r="K53" s="66">
        <f>D53*I10</f>
        <v>750</v>
      </c>
      <c r="L53" s="98"/>
      <c r="M53" s="66"/>
      <c r="N53" s="71"/>
      <c r="O53" s="77">
        <f t="shared" si="10"/>
        <v>1750</v>
      </c>
      <c r="P53" s="89"/>
      <c r="Q53" s="81"/>
      <c r="R53" s="160"/>
      <c r="S53" s="108"/>
      <c r="T53" s="81"/>
      <c r="U53" s="81"/>
      <c r="V53" s="81"/>
      <c r="W53" s="81"/>
      <c r="X53" s="81"/>
      <c r="Y53" s="81"/>
      <c r="Z53" s="81"/>
      <c r="AA53" s="81"/>
      <c r="AB53" s="81"/>
      <c r="AC53" s="81"/>
      <c r="AD53" s="134"/>
      <c r="AE53" s="80"/>
      <c r="AF53" s="81"/>
      <c r="AG53" s="81"/>
      <c r="AH53" s="81"/>
      <c r="AI53" s="81"/>
      <c r="AJ53" s="81"/>
      <c r="AK53" s="81"/>
      <c r="AL53" s="81"/>
      <c r="AM53" s="81"/>
      <c r="AN53" s="81"/>
      <c r="AO53" s="81"/>
      <c r="AP53" s="82"/>
      <c r="AQ53" s="108"/>
      <c r="AR53" s="81"/>
      <c r="AS53" s="81"/>
      <c r="AT53" s="81"/>
      <c r="AU53" s="81"/>
      <c r="AV53" s="81"/>
      <c r="AW53" s="81"/>
      <c r="AX53" s="75"/>
      <c r="AY53" s="81"/>
      <c r="AZ53" s="81"/>
      <c r="BA53" s="81"/>
      <c r="BB53" s="82"/>
      <c r="BC53" s="138"/>
      <c r="BD53" s="193"/>
      <c r="BE53" s="191">
        <f t="shared" si="8"/>
        <v>2500</v>
      </c>
      <c r="BF53" s="201">
        <f t="shared" si="9"/>
        <v>0</v>
      </c>
    </row>
    <row r="54" spans="1:58" s="4" customFormat="1" ht="36">
      <c r="A54" s="125" t="s">
        <v>131</v>
      </c>
      <c r="B54" s="11">
        <v>2.1</v>
      </c>
      <c r="C54" s="217" t="s">
        <v>81</v>
      </c>
      <c r="D54" s="158">
        <v>31720</v>
      </c>
      <c r="E54" s="314">
        <f t="shared" si="6"/>
        <v>5720</v>
      </c>
      <c r="F54" s="343">
        <v>0.9604</v>
      </c>
      <c r="G54" s="80"/>
      <c r="H54" s="97"/>
      <c r="I54" s="97"/>
      <c r="J54" s="97"/>
      <c r="K54" s="66">
        <f>D54*I10</f>
        <v>9516</v>
      </c>
      <c r="L54" s="98"/>
      <c r="M54" s="66"/>
      <c r="N54" s="71"/>
      <c r="O54" s="77">
        <f t="shared" si="10"/>
        <v>22204</v>
      </c>
      <c r="P54" s="89"/>
      <c r="Q54" s="81"/>
      <c r="R54" s="160"/>
      <c r="S54" s="108"/>
      <c r="T54" s="81"/>
      <c r="U54" s="81"/>
      <c r="V54" s="81"/>
      <c r="W54" s="81"/>
      <c r="X54" s="81"/>
      <c r="Y54" s="81"/>
      <c r="Z54" s="81"/>
      <c r="AA54" s="81"/>
      <c r="AB54" s="81"/>
      <c r="AC54" s="81"/>
      <c r="AD54" s="134"/>
      <c r="AE54" s="80"/>
      <c r="AF54" s="81"/>
      <c r="AG54" s="81"/>
      <c r="AH54" s="81"/>
      <c r="AI54" s="81"/>
      <c r="AJ54" s="81"/>
      <c r="AK54" s="81"/>
      <c r="AL54" s="81"/>
      <c r="AM54" s="81"/>
      <c r="AN54" s="81"/>
      <c r="AO54" s="81"/>
      <c r="AP54" s="82"/>
      <c r="AQ54" s="108"/>
      <c r="AR54" s="81"/>
      <c r="AS54" s="81"/>
      <c r="AT54" s="81"/>
      <c r="AU54" s="81"/>
      <c r="AV54" s="81"/>
      <c r="AW54" s="81"/>
      <c r="AX54" s="75"/>
      <c r="AY54" s="81"/>
      <c r="AZ54" s="81"/>
      <c r="BA54" s="81"/>
      <c r="BB54" s="82"/>
      <c r="BC54" s="138"/>
      <c r="BD54" s="193"/>
      <c r="BE54" s="191">
        <f t="shared" si="8"/>
        <v>31720</v>
      </c>
      <c r="BF54" s="201">
        <f t="shared" si="9"/>
        <v>0</v>
      </c>
    </row>
    <row r="55" spans="1:58" s="4" customFormat="1" ht="36">
      <c r="A55" s="125" t="s">
        <v>131</v>
      </c>
      <c r="B55" s="11">
        <v>2.1</v>
      </c>
      <c r="C55" s="217" t="s">
        <v>82</v>
      </c>
      <c r="D55" s="158">
        <v>42700</v>
      </c>
      <c r="E55" s="314">
        <f t="shared" si="6"/>
        <v>7700</v>
      </c>
      <c r="F55" s="343">
        <v>1</v>
      </c>
      <c r="G55" s="80"/>
      <c r="H55" s="97"/>
      <c r="I55" s="97"/>
      <c r="J55" s="97"/>
      <c r="K55" s="66">
        <f>D55*I10</f>
        <v>12810</v>
      </c>
      <c r="L55" s="98"/>
      <c r="M55" s="66"/>
      <c r="N55" s="71"/>
      <c r="O55" s="77">
        <f t="shared" si="10"/>
        <v>29890</v>
      </c>
      <c r="P55" s="89"/>
      <c r="Q55" s="81"/>
      <c r="R55" s="160"/>
      <c r="S55" s="108"/>
      <c r="T55" s="81"/>
      <c r="U55" s="81"/>
      <c r="V55" s="81"/>
      <c r="W55" s="81"/>
      <c r="X55" s="81"/>
      <c r="Y55" s="81"/>
      <c r="Z55" s="81"/>
      <c r="AA55" s="81"/>
      <c r="AB55" s="81"/>
      <c r="AC55" s="81"/>
      <c r="AD55" s="134"/>
      <c r="AE55" s="80"/>
      <c r="AF55" s="81"/>
      <c r="AG55" s="81"/>
      <c r="AH55" s="81"/>
      <c r="AI55" s="81"/>
      <c r="AJ55" s="81"/>
      <c r="AK55" s="81"/>
      <c r="AL55" s="81"/>
      <c r="AM55" s="81"/>
      <c r="AN55" s="81"/>
      <c r="AO55" s="81"/>
      <c r="AP55" s="82"/>
      <c r="AQ55" s="108"/>
      <c r="AR55" s="81"/>
      <c r="AS55" s="81"/>
      <c r="AT55" s="81"/>
      <c r="AU55" s="81"/>
      <c r="AV55" s="81"/>
      <c r="AW55" s="81"/>
      <c r="AX55" s="75"/>
      <c r="AY55" s="81"/>
      <c r="AZ55" s="81"/>
      <c r="BA55" s="81"/>
      <c r="BB55" s="82"/>
      <c r="BC55" s="138"/>
      <c r="BD55" s="193"/>
      <c r="BE55" s="191">
        <f t="shared" si="8"/>
        <v>42700</v>
      </c>
      <c r="BF55" s="201">
        <f t="shared" si="9"/>
        <v>0</v>
      </c>
    </row>
    <row r="56" spans="1:58" s="4" customFormat="1" ht="25.5">
      <c r="A56" s="125" t="s">
        <v>131</v>
      </c>
      <c r="B56" s="11">
        <v>2.1</v>
      </c>
      <c r="C56" s="217" t="s">
        <v>83</v>
      </c>
      <c r="D56" s="158">
        <v>9660</v>
      </c>
      <c r="E56" s="314">
        <f t="shared" si="6"/>
        <v>1741.967213114754</v>
      </c>
      <c r="F56" s="343">
        <v>1</v>
      </c>
      <c r="G56" s="80"/>
      <c r="H56" s="97"/>
      <c r="I56" s="97"/>
      <c r="J56" s="97"/>
      <c r="K56" s="66">
        <f>D56*I10</f>
        <v>2898</v>
      </c>
      <c r="L56" s="98"/>
      <c r="M56" s="66"/>
      <c r="N56" s="71"/>
      <c r="O56" s="77">
        <f t="shared" si="10"/>
        <v>6762</v>
      </c>
      <c r="P56" s="89"/>
      <c r="Q56" s="81"/>
      <c r="R56" s="160"/>
      <c r="S56" s="108"/>
      <c r="T56" s="81"/>
      <c r="U56" s="81"/>
      <c r="V56" s="81"/>
      <c r="W56" s="81"/>
      <c r="X56" s="81"/>
      <c r="Y56" s="81"/>
      <c r="Z56" s="81"/>
      <c r="AA56" s="81"/>
      <c r="AB56" s="81"/>
      <c r="AC56" s="81"/>
      <c r="AD56" s="134"/>
      <c r="AE56" s="80"/>
      <c r="AF56" s="81"/>
      <c r="AG56" s="81"/>
      <c r="AH56" s="81"/>
      <c r="AI56" s="81"/>
      <c r="AJ56" s="81"/>
      <c r="AK56" s="81"/>
      <c r="AL56" s="81"/>
      <c r="AM56" s="81"/>
      <c r="AN56" s="81"/>
      <c r="AO56" s="81"/>
      <c r="AP56" s="82"/>
      <c r="AQ56" s="108"/>
      <c r="AR56" s="81"/>
      <c r="AS56" s="81"/>
      <c r="AT56" s="81"/>
      <c r="AU56" s="81"/>
      <c r="AV56" s="81"/>
      <c r="AW56" s="81"/>
      <c r="AX56" s="75"/>
      <c r="AY56" s="81"/>
      <c r="AZ56" s="81"/>
      <c r="BA56" s="81"/>
      <c r="BB56" s="82"/>
      <c r="BC56" s="138"/>
      <c r="BD56" s="193"/>
      <c r="BE56" s="191">
        <f t="shared" si="8"/>
        <v>9660</v>
      </c>
      <c r="BF56" s="201">
        <f t="shared" si="9"/>
        <v>0</v>
      </c>
    </row>
    <row r="57" spans="1:58" s="4" customFormat="1" ht="25.5">
      <c r="A57" s="125" t="s">
        <v>131</v>
      </c>
      <c r="B57" s="11">
        <v>2.1</v>
      </c>
      <c r="C57" s="217" t="s">
        <v>8</v>
      </c>
      <c r="D57" s="158">
        <v>2550</v>
      </c>
      <c r="E57" s="314">
        <f t="shared" si="6"/>
        <v>459.8360655737705</v>
      </c>
      <c r="F57" s="343">
        <v>1</v>
      </c>
      <c r="G57" s="80"/>
      <c r="H57" s="97"/>
      <c r="I57" s="97"/>
      <c r="J57" s="97"/>
      <c r="K57" s="66">
        <f>D57*I10</f>
        <v>765</v>
      </c>
      <c r="L57" s="98"/>
      <c r="M57" s="66"/>
      <c r="N57" s="71"/>
      <c r="O57" s="77">
        <f t="shared" si="10"/>
        <v>1785</v>
      </c>
      <c r="P57" s="89"/>
      <c r="Q57" s="81"/>
      <c r="R57" s="160"/>
      <c r="S57" s="108"/>
      <c r="T57" s="81"/>
      <c r="U57" s="81"/>
      <c r="V57" s="81"/>
      <c r="W57" s="81"/>
      <c r="X57" s="81"/>
      <c r="Y57" s="81"/>
      <c r="Z57" s="81"/>
      <c r="AA57" s="81"/>
      <c r="AB57" s="81"/>
      <c r="AC57" s="81"/>
      <c r="AD57" s="134"/>
      <c r="AE57" s="80"/>
      <c r="AF57" s="81"/>
      <c r="AG57" s="81"/>
      <c r="AH57" s="81"/>
      <c r="AI57" s="81"/>
      <c r="AJ57" s="81"/>
      <c r="AK57" s="81"/>
      <c r="AL57" s="81"/>
      <c r="AM57" s="81"/>
      <c r="AN57" s="81"/>
      <c r="AO57" s="81"/>
      <c r="AP57" s="82"/>
      <c r="AQ57" s="108"/>
      <c r="AR57" s="81"/>
      <c r="AS57" s="81"/>
      <c r="AT57" s="81"/>
      <c r="AU57" s="81"/>
      <c r="AV57" s="81"/>
      <c r="AW57" s="81"/>
      <c r="AX57" s="75"/>
      <c r="AY57" s="81"/>
      <c r="AZ57" s="81"/>
      <c r="BA57" s="81"/>
      <c r="BB57" s="82"/>
      <c r="BC57" s="138"/>
      <c r="BD57" s="193"/>
      <c r="BE57" s="191">
        <f t="shared" si="8"/>
        <v>2550</v>
      </c>
      <c r="BF57" s="201">
        <f t="shared" si="9"/>
        <v>0</v>
      </c>
    </row>
    <row r="58" spans="1:58" s="4" customFormat="1" ht="36">
      <c r="A58" s="125" t="s">
        <v>131</v>
      </c>
      <c r="B58" s="11">
        <v>2.1</v>
      </c>
      <c r="C58" s="217" t="s">
        <v>84</v>
      </c>
      <c r="D58" s="158">
        <v>19510</v>
      </c>
      <c r="E58" s="314">
        <f t="shared" si="6"/>
        <v>3518.1967213114754</v>
      </c>
      <c r="F58" s="343">
        <v>1</v>
      </c>
      <c r="G58" s="80"/>
      <c r="H58" s="97"/>
      <c r="I58" s="97"/>
      <c r="J58" s="97"/>
      <c r="K58" s="66">
        <f>D58*I10</f>
        <v>5853</v>
      </c>
      <c r="L58" s="98"/>
      <c r="M58" s="66"/>
      <c r="N58" s="71"/>
      <c r="O58" s="77">
        <f t="shared" si="10"/>
        <v>13657</v>
      </c>
      <c r="P58" s="89"/>
      <c r="Q58" s="81"/>
      <c r="R58" s="160"/>
      <c r="S58" s="108"/>
      <c r="T58" s="81"/>
      <c r="U58" s="81"/>
      <c r="V58" s="81"/>
      <c r="W58" s="81"/>
      <c r="X58" s="81"/>
      <c r="Y58" s="81"/>
      <c r="Z58" s="81"/>
      <c r="AA58" s="81"/>
      <c r="AB58" s="81"/>
      <c r="AC58" s="81"/>
      <c r="AD58" s="134"/>
      <c r="AE58" s="80"/>
      <c r="AF58" s="81"/>
      <c r="AG58" s="81"/>
      <c r="AH58" s="81"/>
      <c r="AI58" s="81"/>
      <c r="AJ58" s="81"/>
      <c r="AK58" s="81"/>
      <c r="AL58" s="81"/>
      <c r="AM58" s="81"/>
      <c r="AN58" s="81"/>
      <c r="AO58" s="81"/>
      <c r="AP58" s="82"/>
      <c r="AQ58" s="108"/>
      <c r="AR58" s="81"/>
      <c r="AS58" s="81"/>
      <c r="AT58" s="81"/>
      <c r="AU58" s="81"/>
      <c r="AV58" s="81"/>
      <c r="AW58" s="81"/>
      <c r="AX58" s="75"/>
      <c r="AY58" s="81"/>
      <c r="AZ58" s="81"/>
      <c r="BA58" s="81"/>
      <c r="BB58" s="82"/>
      <c r="BC58" s="138"/>
      <c r="BD58" s="193"/>
      <c r="BE58" s="191">
        <f t="shared" si="8"/>
        <v>19510</v>
      </c>
      <c r="BF58" s="201">
        <f t="shared" si="9"/>
        <v>0</v>
      </c>
    </row>
    <row r="59" spans="1:58" s="6" customFormat="1" ht="14.25">
      <c r="A59" s="330" t="s">
        <v>124</v>
      </c>
      <c r="B59" s="17" t="s">
        <v>132</v>
      </c>
      <c r="C59" s="30"/>
      <c r="D59" s="157"/>
      <c r="E59" s="315"/>
      <c r="F59" s="342"/>
      <c r="G59" s="352"/>
      <c r="H59" s="53"/>
      <c r="I59" s="53"/>
      <c r="J59" s="54"/>
      <c r="K59" s="54"/>
      <c r="L59" s="54"/>
      <c r="M59" s="54"/>
      <c r="N59" s="54"/>
      <c r="O59" s="54"/>
      <c r="P59" s="54"/>
      <c r="Q59" s="54"/>
      <c r="R59" s="55"/>
      <c r="S59" s="145"/>
      <c r="T59" s="54"/>
      <c r="U59" s="54"/>
      <c r="V59" s="54"/>
      <c r="W59" s="54"/>
      <c r="X59" s="54"/>
      <c r="Y59" s="54"/>
      <c r="Z59" s="54"/>
      <c r="AA59" s="54"/>
      <c r="AB59" s="54"/>
      <c r="AC59" s="54"/>
      <c r="AD59" s="132"/>
      <c r="AE59" s="56"/>
      <c r="AF59" s="54"/>
      <c r="AG59" s="54"/>
      <c r="AH59" s="54"/>
      <c r="AI59" s="54"/>
      <c r="AJ59" s="54"/>
      <c r="AK59" s="54"/>
      <c r="AL59" s="54"/>
      <c r="AM59" s="54"/>
      <c r="AN59" s="54"/>
      <c r="AO59" s="54"/>
      <c r="AP59" s="55"/>
      <c r="AQ59" s="145"/>
      <c r="AR59" s="54"/>
      <c r="AS59" s="54"/>
      <c r="AT59" s="54"/>
      <c r="AU59" s="54"/>
      <c r="AV59" s="54"/>
      <c r="AW59" s="54"/>
      <c r="AX59" s="44"/>
      <c r="AY59" s="54"/>
      <c r="AZ59" s="54"/>
      <c r="BA59" s="54"/>
      <c r="BB59" s="55"/>
      <c r="BC59" s="192"/>
      <c r="BD59" s="187"/>
      <c r="BE59" s="191">
        <f t="shared" si="8"/>
        <v>0</v>
      </c>
      <c r="BF59" s="201">
        <f t="shared" si="9"/>
        <v>0</v>
      </c>
    </row>
    <row r="60" spans="1:58" ht="38.25">
      <c r="A60" s="123" t="s">
        <v>133</v>
      </c>
      <c r="B60" s="12">
        <v>1.1</v>
      </c>
      <c r="C60" s="29" t="s">
        <v>152</v>
      </c>
      <c r="D60" s="156">
        <v>50000</v>
      </c>
      <c r="E60" s="314">
        <f t="shared" si="6"/>
        <v>9016.393442622952</v>
      </c>
      <c r="F60" s="341">
        <v>0.9944</v>
      </c>
      <c r="G60" s="78"/>
      <c r="H60" s="43"/>
      <c r="I60" s="57"/>
      <c r="J60" s="57"/>
      <c r="K60" s="57"/>
      <c r="L60" s="49">
        <f>D60*I10</f>
        <v>15000</v>
      </c>
      <c r="M60" s="49"/>
      <c r="N60" s="49"/>
      <c r="O60" s="49"/>
      <c r="P60" s="43">
        <f>D60-L60</f>
        <v>35000</v>
      </c>
      <c r="Q60" s="19"/>
      <c r="R60" s="79"/>
      <c r="S60" s="151"/>
      <c r="T60" s="43"/>
      <c r="U60" s="43"/>
      <c r="V60" s="43"/>
      <c r="W60" s="43"/>
      <c r="X60" s="43"/>
      <c r="Y60" s="43"/>
      <c r="Z60" s="43"/>
      <c r="AA60" s="43"/>
      <c r="AB60" s="43"/>
      <c r="AC60" s="43"/>
      <c r="AD60" s="86"/>
      <c r="AE60" s="78"/>
      <c r="AF60" s="43"/>
      <c r="AG60" s="43"/>
      <c r="AH60" s="43"/>
      <c r="AI60" s="43"/>
      <c r="AJ60" s="43"/>
      <c r="AK60" s="43"/>
      <c r="AL60" s="43"/>
      <c r="AM60" s="43"/>
      <c r="AN60" s="43"/>
      <c r="AO60" s="43"/>
      <c r="AP60" s="79"/>
      <c r="AQ60" s="151"/>
      <c r="AR60" s="43"/>
      <c r="AS60" s="43"/>
      <c r="AT60" s="43"/>
      <c r="AU60" s="43"/>
      <c r="AV60" s="43"/>
      <c r="AW60" s="43"/>
      <c r="AX60" s="44"/>
      <c r="AY60" s="43"/>
      <c r="AZ60" s="43"/>
      <c r="BA60" s="43"/>
      <c r="BB60" s="79"/>
      <c r="BC60" s="138"/>
      <c r="BE60" s="191">
        <f t="shared" si="8"/>
        <v>50000</v>
      </c>
      <c r="BF60" s="201">
        <f t="shared" si="9"/>
        <v>0</v>
      </c>
    </row>
    <row r="61" spans="1:58" s="2" customFormat="1" ht="38.25">
      <c r="A61" s="123" t="s">
        <v>133</v>
      </c>
      <c r="B61" s="11">
        <v>2.1</v>
      </c>
      <c r="C61" s="221" t="s">
        <v>11</v>
      </c>
      <c r="D61" s="159">
        <v>489100</v>
      </c>
      <c r="E61" s="314">
        <f t="shared" si="6"/>
        <v>88198.3606557377</v>
      </c>
      <c r="F61" s="343">
        <v>0.9944</v>
      </c>
      <c r="G61" s="58"/>
      <c r="H61" s="107"/>
      <c r="I61" s="107"/>
      <c r="J61" s="107"/>
      <c r="K61" s="66">
        <f>D61*I10</f>
        <v>146730</v>
      </c>
      <c r="L61" s="66"/>
      <c r="M61" s="66"/>
      <c r="N61" s="66"/>
      <c r="O61" s="66"/>
      <c r="P61" s="111"/>
      <c r="Q61" s="112"/>
      <c r="R61" s="213"/>
      <c r="S61" s="205"/>
      <c r="T61" s="77">
        <f>D61-K61</f>
        <v>342370</v>
      </c>
      <c r="V61" s="43"/>
      <c r="W61" s="43"/>
      <c r="X61" s="43"/>
      <c r="Y61" s="43"/>
      <c r="Z61" s="43"/>
      <c r="AA61" s="43"/>
      <c r="AB61" s="43"/>
      <c r="AC61" s="43"/>
      <c r="AD61" s="86"/>
      <c r="AE61" s="78"/>
      <c r="AF61" s="43"/>
      <c r="AG61" s="43"/>
      <c r="AH61" s="70"/>
      <c r="AI61" s="70"/>
      <c r="AJ61" s="70"/>
      <c r="AK61" s="70"/>
      <c r="AL61" s="70"/>
      <c r="AM61" s="70"/>
      <c r="AN61" s="70"/>
      <c r="AO61" s="70"/>
      <c r="AP61" s="74"/>
      <c r="AQ61" s="149"/>
      <c r="AR61" s="70"/>
      <c r="AS61" s="70"/>
      <c r="AT61" s="70"/>
      <c r="AU61" s="70"/>
      <c r="AV61" s="70"/>
      <c r="AW61" s="70"/>
      <c r="AX61" s="75"/>
      <c r="AY61" s="70"/>
      <c r="AZ61" s="70"/>
      <c r="BA61" s="70"/>
      <c r="BB61" s="74"/>
      <c r="BC61" s="138"/>
      <c r="BD61" s="193"/>
      <c r="BE61" s="191">
        <f t="shared" si="8"/>
        <v>489100</v>
      </c>
      <c r="BF61" s="201">
        <f t="shared" si="9"/>
        <v>0</v>
      </c>
    </row>
    <row r="62" spans="1:58" s="6" customFormat="1" ht="14.25">
      <c r="A62" s="330" t="s">
        <v>124</v>
      </c>
      <c r="B62" s="17" t="s">
        <v>134</v>
      </c>
      <c r="C62" s="30"/>
      <c r="D62" s="157"/>
      <c r="E62" s="315"/>
      <c r="F62" s="342"/>
      <c r="G62" s="352"/>
      <c r="H62" s="53"/>
      <c r="I62" s="53"/>
      <c r="J62" s="54"/>
      <c r="K62" s="54"/>
      <c r="L62" s="54"/>
      <c r="M62" s="54"/>
      <c r="N62" s="54"/>
      <c r="O62" s="54"/>
      <c r="P62" s="54"/>
      <c r="Q62" s="54"/>
      <c r="R62" s="55"/>
      <c r="S62" s="145"/>
      <c r="T62" s="54"/>
      <c r="U62" s="54"/>
      <c r="V62" s="54"/>
      <c r="W62" s="54"/>
      <c r="X62" s="54"/>
      <c r="Y62" s="54"/>
      <c r="Z62" s="54"/>
      <c r="AA62" s="54"/>
      <c r="AB62" s="54"/>
      <c r="AC62" s="54"/>
      <c r="AD62" s="132"/>
      <c r="AE62" s="56"/>
      <c r="AF62" s="54"/>
      <c r="AG62" s="54"/>
      <c r="AH62" s="54"/>
      <c r="AI62" s="54"/>
      <c r="AJ62" s="54"/>
      <c r="AK62" s="54"/>
      <c r="AL62" s="54"/>
      <c r="AM62" s="54"/>
      <c r="AN62" s="54"/>
      <c r="AO62" s="54"/>
      <c r="AP62" s="55"/>
      <c r="AQ62" s="145"/>
      <c r="AR62" s="54"/>
      <c r="AS62" s="54"/>
      <c r="AT62" s="54"/>
      <c r="AU62" s="54"/>
      <c r="AV62" s="54"/>
      <c r="AW62" s="54"/>
      <c r="AX62" s="44"/>
      <c r="AY62" s="54"/>
      <c r="AZ62" s="54"/>
      <c r="BA62" s="54"/>
      <c r="BB62" s="55"/>
      <c r="BC62" s="192"/>
      <c r="BD62" s="187"/>
      <c r="BE62" s="191">
        <f t="shared" si="8"/>
        <v>0</v>
      </c>
      <c r="BF62" s="201">
        <f t="shared" si="9"/>
        <v>0</v>
      </c>
    </row>
    <row r="63" spans="1:58" ht="36">
      <c r="A63" s="125" t="s">
        <v>135</v>
      </c>
      <c r="B63" s="12">
        <v>1.1</v>
      </c>
      <c r="C63" s="29" t="s">
        <v>155</v>
      </c>
      <c r="D63" s="156">
        <v>8528</v>
      </c>
      <c r="E63" s="314">
        <f t="shared" si="6"/>
        <v>1537.8360655737704</v>
      </c>
      <c r="F63" s="341">
        <v>1</v>
      </c>
      <c r="G63" s="214"/>
      <c r="H63" s="113"/>
      <c r="I63" s="113"/>
      <c r="J63" s="113"/>
      <c r="K63" s="85">
        <f>D63*I10</f>
        <v>2558.4</v>
      </c>
      <c r="L63" s="49"/>
      <c r="M63" s="49"/>
      <c r="N63" s="49"/>
      <c r="O63" s="49"/>
      <c r="P63" s="49"/>
      <c r="Q63" s="49"/>
      <c r="R63" s="79">
        <f>D63-K63</f>
        <v>5969.6</v>
      </c>
      <c r="S63" s="151"/>
      <c r="T63" s="43"/>
      <c r="U63" s="43"/>
      <c r="V63" s="43"/>
      <c r="W63" s="43"/>
      <c r="X63" s="43"/>
      <c r="Y63" s="43"/>
      <c r="Z63" s="43"/>
      <c r="AA63" s="43"/>
      <c r="AB63" s="43"/>
      <c r="AC63" s="43"/>
      <c r="AD63" s="86"/>
      <c r="AE63" s="78"/>
      <c r="AF63" s="43"/>
      <c r="AG63" s="43"/>
      <c r="AH63" s="43"/>
      <c r="AI63" s="43"/>
      <c r="AJ63" s="43"/>
      <c r="AK63" s="43"/>
      <c r="AL63" s="43"/>
      <c r="AM63" s="43"/>
      <c r="AN63" s="43"/>
      <c r="AO63" s="43"/>
      <c r="AP63" s="79"/>
      <c r="AQ63" s="151"/>
      <c r="AR63" s="43"/>
      <c r="AS63" s="43"/>
      <c r="AT63" s="43"/>
      <c r="AU63" s="43"/>
      <c r="AV63" s="43"/>
      <c r="AW63" s="43"/>
      <c r="AX63" s="44"/>
      <c r="AY63" s="43"/>
      <c r="AZ63" s="43"/>
      <c r="BA63" s="43"/>
      <c r="BB63" s="79"/>
      <c r="BC63" s="138"/>
      <c r="BE63" s="191">
        <f t="shared" si="8"/>
        <v>8528</v>
      </c>
      <c r="BF63" s="201">
        <f t="shared" si="9"/>
        <v>0</v>
      </c>
    </row>
    <row r="64" spans="1:58" ht="60">
      <c r="A64" s="125" t="s">
        <v>135</v>
      </c>
      <c r="B64" s="12">
        <v>1.1</v>
      </c>
      <c r="C64" s="29" t="s">
        <v>156</v>
      </c>
      <c r="D64" s="156">
        <v>9000</v>
      </c>
      <c r="E64" s="314">
        <f t="shared" si="6"/>
        <v>1622.950819672131</v>
      </c>
      <c r="F64" s="341">
        <v>1</v>
      </c>
      <c r="G64" s="214"/>
      <c r="H64" s="113"/>
      <c r="I64" s="113"/>
      <c r="J64" s="113"/>
      <c r="K64" s="85">
        <f>D64*I10</f>
        <v>2700</v>
      </c>
      <c r="L64" s="49"/>
      <c r="M64" s="85"/>
      <c r="N64" s="49"/>
      <c r="O64" s="49"/>
      <c r="P64" s="49"/>
      <c r="Q64" s="49"/>
      <c r="R64" s="79">
        <f>D64-K64</f>
        <v>6300</v>
      </c>
      <c r="S64" s="151"/>
      <c r="T64" s="43"/>
      <c r="U64" s="43"/>
      <c r="V64" s="43"/>
      <c r="W64" s="43"/>
      <c r="X64" s="43"/>
      <c r="Y64" s="43"/>
      <c r="Z64" s="43"/>
      <c r="AA64" s="43"/>
      <c r="AB64" s="43"/>
      <c r="AC64" s="43"/>
      <c r="AD64" s="86"/>
      <c r="AE64" s="78"/>
      <c r="AF64" s="43"/>
      <c r="AG64" s="43"/>
      <c r="AH64" s="43"/>
      <c r="AI64" s="43"/>
      <c r="AJ64" s="43"/>
      <c r="AK64" s="43"/>
      <c r="AL64" s="43"/>
      <c r="AM64" s="43"/>
      <c r="AN64" s="43"/>
      <c r="AO64" s="43"/>
      <c r="AP64" s="79"/>
      <c r="AQ64" s="151"/>
      <c r="AR64" s="43"/>
      <c r="AS64" s="43"/>
      <c r="AT64" s="43"/>
      <c r="AU64" s="43"/>
      <c r="AV64" s="43"/>
      <c r="AW64" s="43"/>
      <c r="AX64" s="44"/>
      <c r="AY64" s="43"/>
      <c r="AZ64" s="43"/>
      <c r="BA64" s="43"/>
      <c r="BB64" s="79"/>
      <c r="BC64" s="138"/>
      <c r="BE64" s="191">
        <f t="shared" si="8"/>
        <v>9000</v>
      </c>
      <c r="BF64" s="201">
        <f t="shared" si="9"/>
        <v>0</v>
      </c>
    </row>
    <row r="65" spans="1:58" ht="36">
      <c r="A65" s="125" t="s">
        <v>135</v>
      </c>
      <c r="B65" s="12">
        <v>1.1</v>
      </c>
      <c r="C65" s="29" t="s">
        <v>154</v>
      </c>
      <c r="D65" s="156">
        <v>4152</v>
      </c>
      <c r="E65" s="314">
        <f t="shared" si="6"/>
        <v>748.7213114754098</v>
      </c>
      <c r="F65" s="341">
        <v>1</v>
      </c>
      <c r="G65" s="214"/>
      <c r="H65" s="113"/>
      <c r="I65" s="113"/>
      <c r="J65" s="113"/>
      <c r="K65" s="85">
        <f>D65*I10</f>
        <v>1245.6</v>
      </c>
      <c r="L65" s="49"/>
      <c r="M65" s="85"/>
      <c r="N65" s="49"/>
      <c r="O65" s="49"/>
      <c r="P65" s="49"/>
      <c r="Q65" s="49"/>
      <c r="R65" s="79">
        <f>D65-K65</f>
        <v>2906.4</v>
      </c>
      <c r="S65" s="151"/>
      <c r="T65" s="43"/>
      <c r="U65" s="43"/>
      <c r="V65" s="43"/>
      <c r="W65" s="43"/>
      <c r="X65" s="43"/>
      <c r="Y65" s="43"/>
      <c r="Z65" s="43"/>
      <c r="AA65" s="43"/>
      <c r="AB65" s="43"/>
      <c r="AC65" s="43"/>
      <c r="AD65" s="86"/>
      <c r="AE65" s="78"/>
      <c r="AF65" s="43"/>
      <c r="AG65" s="43"/>
      <c r="AH65" s="43"/>
      <c r="AI65" s="43"/>
      <c r="AJ65" s="43"/>
      <c r="AK65" s="43"/>
      <c r="AL65" s="43"/>
      <c r="AM65" s="43"/>
      <c r="AN65" s="43"/>
      <c r="AO65" s="43"/>
      <c r="AP65" s="79"/>
      <c r="AQ65" s="151"/>
      <c r="AR65" s="43"/>
      <c r="AS65" s="43"/>
      <c r="AT65" s="43"/>
      <c r="AU65" s="43"/>
      <c r="AV65" s="43"/>
      <c r="AW65" s="43"/>
      <c r="AX65" s="44"/>
      <c r="AY65" s="43"/>
      <c r="AZ65" s="43"/>
      <c r="BA65" s="43"/>
      <c r="BB65" s="79"/>
      <c r="BC65" s="138"/>
      <c r="BE65" s="191">
        <f t="shared" si="8"/>
        <v>4152</v>
      </c>
      <c r="BF65" s="201">
        <f t="shared" si="9"/>
        <v>0</v>
      </c>
    </row>
    <row r="66" spans="1:58" ht="60">
      <c r="A66" s="125" t="s">
        <v>135</v>
      </c>
      <c r="B66" s="12">
        <v>1.1</v>
      </c>
      <c r="C66" s="29" t="s">
        <v>157</v>
      </c>
      <c r="D66" s="156">
        <v>47000</v>
      </c>
      <c r="E66" s="314">
        <f t="shared" si="6"/>
        <v>8475.409836065573</v>
      </c>
      <c r="F66" s="341">
        <v>1</v>
      </c>
      <c r="G66" s="214"/>
      <c r="H66" s="113"/>
      <c r="I66" s="113"/>
      <c r="J66" s="113"/>
      <c r="K66" s="85">
        <f>D66*I10</f>
        <v>14100</v>
      </c>
      <c r="L66" s="49"/>
      <c r="M66" s="85"/>
      <c r="N66" s="49"/>
      <c r="O66" s="49"/>
      <c r="P66" s="49"/>
      <c r="Q66" s="49"/>
      <c r="R66" s="79">
        <f>D66-K66</f>
        <v>32900</v>
      </c>
      <c r="S66" s="151"/>
      <c r="T66" s="43"/>
      <c r="U66" s="43"/>
      <c r="V66" s="43"/>
      <c r="W66" s="43"/>
      <c r="X66" s="43"/>
      <c r="Y66" s="43"/>
      <c r="Z66" s="43"/>
      <c r="AA66" s="43"/>
      <c r="AB66" s="43"/>
      <c r="AC66" s="43"/>
      <c r="AD66" s="86"/>
      <c r="AE66" s="78"/>
      <c r="AF66" s="43"/>
      <c r="AG66" s="43"/>
      <c r="AH66" s="43"/>
      <c r="AI66" s="43"/>
      <c r="AJ66" s="43"/>
      <c r="AK66" s="43"/>
      <c r="AL66" s="43"/>
      <c r="AM66" s="43"/>
      <c r="AN66" s="43"/>
      <c r="AO66" s="43"/>
      <c r="AP66" s="79"/>
      <c r="AQ66" s="151"/>
      <c r="AR66" s="43"/>
      <c r="AS66" s="43"/>
      <c r="AT66" s="43"/>
      <c r="AU66" s="43"/>
      <c r="AV66" s="43"/>
      <c r="AW66" s="43"/>
      <c r="AX66" s="44"/>
      <c r="AY66" s="43"/>
      <c r="AZ66" s="43"/>
      <c r="BA66" s="43"/>
      <c r="BB66" s="79"/>
      <c r="BC66" s="138"/>
      <c r="BE66" s="191">
        <f t="shared" si="8"/>
        <v>47000</v>
      </c>
      <c r="BF66" s="201">
        <f t="shared" si="9"/>
        <v>0</v>
      </c>
    </row>
    <row r="67" spans="1:58" ht="36">
      <c r="A67" s="125" t="s">
        <v>135</v>
      </c>
      <c r="B67" s="12">
        <v>1.1</v>
      </c>
      <c r="C67" s="29" t="s">
        <v>158</v>
      </c>
      <c r="D67" s="156">
        <v>3624</v>
      </c>
      <c r="E67" s="314">
        <f t="shared" si="6"/>
        <v>653.5081967213115</v>
      </c>
      <c r="F67" s="341">
        <v>0.9387</v>
      </c>
      <c r="G67" s="214"/>
      <c r="H67" s="113"/>
      <c r="I67" s="113"/>
      <c r="J67" s="113"/>
      <c r="K67" s="85">
        <f>D67*I10</f>
        <v>1087.2</v>
      </c>
      <c r="L67" s="49"/>
      <c r="M67" s="85"/>
      <c r="N67" s="49"/>
      <c r="O67" s="49"/>
      <c r="P67" s="49"/>
      <c r="Q67" s="49"/>
      <c r="R67" s="79">
        <f>D67-K67</f>
        <v>2536.8</v>
      </c>
      <c r="S67" s="151"/>
      <c r="T67" s="43"/>
      <c r="U67" s="43"/>
      <c r="V67" s="43"/>
      <c r="W67" s="43"/>
      <c r="X67" s="43"/>
      <c r="Y67" s="43"/>
      <c r="Z67" s="43"/>
      <c r="AA67" s="43"/>
      <c r="AB67" s="43"/>
      <c r="AC67" s="43"/>
      <c r="AD67" s="86"/>
      <c r="AE67" s="78"/>
      <c r="AF67" s="43"/>
      <c r="AG67" s="43"/>
      <c r="AH67" s="43"/>
      <c r="AI67" s="43"/>
      <c r="AJ67" s="43"/>
      <c r="AK67" s="43"/>
      <c r="AL67" s="43"/>
      <c r="AM67" s="43"/>
      <c r="AN67" s="43"/>
      <c r="AO67" s="43"/>
      <c r="AP67" s="79"/>
      <c r="AQ67" s="151"/>
      <c r="AR67" s="43"/>
      <c r="AS67" s="43"/>
      <c r="AT67" s="43"/>
      <c r="AU67" s="43"/>
      <c r="AV67" s="43"/>
      <c r="AW67" s="43"/>
      <c r="AX67" s="44"/>
      <c r="AY67" s="43"/>
      <c r="AZ67" s="43"/>
      <c r="BA67" s="43"/>
      <c r="BB67" s="79"/>
      <c r="BC67" s="138"/>
      <c r="BE67" s="191">
        <f t="shared" si="8"/>
        <v>3624</v>
      </c>
      <c r="BF67" s="201">
        <f t="shared" si="9"/>
        <v>0</v>
      </c>
    </row>
    <row r="68" spans="1:58" ht="36">
      <c r="A68" s="125" t="s">
        <v>135</v>
      </c>
      <c r="B68" s="12">
        <v>2.1</v>
      </c>
      <c r="C68" s="222" t="s">
        <v>85</v>
      </c>
      <c r="D68" s="237">
        <v>610</v>
      </c>
      <c r="E68" s="314">
        <f t="shared" si="6"/>
        <v>110</v>
      </c>
      <c r="F68" s="344">
        <v>1</v>
      </c>
      <c r="G68" s="214"/>
      <c r="H68" s="113"/>
      <c r="I68" s="113"/>
      <c r="J68" s="113"/>
      <c r="K68" s="83">
        <f>D68</f>
        <v>610</v>
      </c>
      <c r="L68" s="59"/>
      <c r="M68" s="59"/>
      <c r="N68" s="59"/>
      <c r="O68" s="59"/>
      <c r="P68" s="59"/>
      <c r="Q68" s="48"/>
      <c r="R68" s="79"/>
      <c r="S68" s="151"/>
      <c r="T68" s="43"/>
      <c r="U68" s="43"/>
      <c r="V68" s="43"/>
      <c r="W68" s="43"/>
      <c r="X68" s="43"/>
      <c r="Y68" s="43"/>
      <c r="Z68" s="43"/>
      <c r="AA68" s="43"/>
      <c r="AB68" s="43"/>
      <c r="AC68" s="43"/>
      <c r="AD68" s="86"/>
      <c r="AE68" s="78"/>
      <c r="AF68" s="43"/>
      <c r="AG68" s="43"/>
      <c r="AH68" s="43"/>
      <c r="AI68" s="43"/>
      <c r="AJ68" s="43"/>
      <c r="AK68" s="43"/>
      <c r="AL68" s="43"/>
      <c r="AM68" s="43"/>
      <c r="AN68" s="43"/>
      <c r="AO68" s="43"/>
      <c r="AP68" s="79"/>
      <c r="AQ68" s="151"/>
      <c r="AR68" s="43"/>
      <c r="AS68" s="43"/>
      <c r="AT68" s="43"/>
      <c r="AU68" s="43"/>
      <c r="AV68" s="43"/>
      <c r="AW68" s="43"/>
      <c r="AX68" s="44"/>
      <c r="AY68" s="43"/>
      <c r="AZ68" s="43"/>
      <c r="BA68" s="43"/>
      <c r="BB68" s="79"/>
      <c r="BC68" s="138"/>
      <c r="BE68" s="191">
        <f t="shared" si="8"/>
        <v>610</v>
      </c>
      <c r="BF68" s="201">
        <f t="shared" si="9"/>
        <v>0</v>
      </c>
    </row>
    <row r="69" spans="1:58" ht="36">
      <c r="A69" s="123" t="s">
        <v>135</v>
      </c>
      <c r="B69" s="12">
        <v>2.1</v>
      </c>
      <c r="C69" s="222" t="s">
        <v>86</v>
      </c>
      <c r="D69" s="237">
        <v>5124</v>
      </c>
      <c r="E69" s="314">
        <f t="shared" si="6"/>
        <v>924</v>
      </c>
      <c r="F69" s="344">
        <v>1</v>
      </c>
      <c r="G69" s="214"/>
      <c r="H69" s="113"/>
      <c r="I69" s="113"/>
      <c r="J69" s="113"/>
      <c r="K69" s="83">
        <f>D69</f>
        <v>5124</v>
      </c>
      <c r="L69" s="59"/>
      <c r="M69" s="59"/>
      <c r="N69" s="59"/>
      <c r="O69" s="59"/>
      <c r="P69" s="59"/>
      <c r="Q69" s="48"/>
      <c r="R69" s="79"/>
      <c r="S69" s="151"/>
      <c r="T69" s="43"/>
      <c r="U69" s="43"/>
      <c r="V69" s="43"/>
      <c r="W69" s="43"/>
      <c r="X69" s="43"/>
      <c r="Y69" s="43"/>
      <c r="Z69" s="43"/>
      <c r="AA69" s="43"/>
      <c r="AB69" s="43"/>
      <c r="AC69" s="43"/>
      <c r="AD69" s="86"/>
      <c r="AE69" s="78"/>
      <c r="AF69" s="43"/>
      <c r="AG69" s="43"/>
      <c r="AH69" s="43"/>
      <c r="AI69" s="43"/>
      <c r="AJ69" s="43"/>
      <c r="AK69" s="43"/>
      <c r="AL69" s="43"/>
      <c r="AM69" s="43"/>
      <c r="AN69" s="43"/>
      <c r="AO69" s="43"/>
      <c r="AP69" s="79"/>
      <c r="AQ69" s="151"/>
      <c r="AR69" s="43"/>
      <c r="AS69" s="43"/>
      <c r="AT69" s="43"/>
      <c r="AU69" s="43"/>
      <c r="AV69" s="43"/>
      <c r="AW69" s="43"/>
      <c r="AX69" s="44"/>
      <c r="AY69" s="43"/>
      <c r="AZ69" s="43"/>
      <c r="BA69" s="43"/>
      <c r="BB69" s="79"/>
      <c r="BC69" s="138"/>
      <c r="BE69" s="191">
        <f t="shared" si="8"/>
        <v>5124</v>
      </c>
      <c r="BF69" s="201">
        <f t="shared" si="9"/>
        <v>0</v>
      </c>
    </row>
    <row r="70" spans="1:58" ht="36">
      <c r="A70" s="123" t="s">
        <v>135</v>
      </c>
      <c r="B70" s="12">
        <v>2.1</v>
      </c>
      <c r="C70" s="222" t="s">
        <v>103</v>
      </c>
      <c r="D70" s="237">
        <v>7320</v>
      </c>
      <c r="E70" s="314">
        <f t="shared" si="6"/>
        <v>1320</v>
      </c>
      <c r="F70" s="344">
        <v>1</v>
      </c>
      <c r="G70" s="214"/>
      <c r="H70" s="113"/>
      <c r="I70" s="113"/>
      <c r="J70" s="113"/>
      <c r="K70" s="66">
        <f>D70*I10</f>
        <v>2196</v>
      </c>
      <c r="L70" s="66"/>
      <c r="M70" s="66">
        <f>D70-K70</f>
        <v>5124</v>
      </c>
      <c r="N70" s="59"/>
      <c r="O70" s="59"/>
      <c r="P70" s="59"/>
      <c r="Q70" s="19"/>
      <c r="R70" s="79"/>
      <c r="S70" s="151"/>
      <c r="T70" s="43"/>
      <c r="U70" s="43"/>
      <c r="V70" s="43"/>
      <c r="W70" s="43"/>
      <c r="X70" s="43"/>
      <c r="Y70" s="43"/>
      <c r="Z70" s="43"/>
      <c r="AA70" s="43"/>
      <c r="AB70" s="43"/>
      <c r="AC70" s="43"/>
      <c r="AD70" s="86"/>
      <c r="AE70" s="78"/>
      <c r="AF70" s="43"/>
      <c r="AG70" s="43"/>
      <c r="AH70" s="43"/>
      <c r="AI70" s="43"/>
      <c r="AJ70" s="43"/>
      <c r="AK70" s="43"/>
      <c r="AL70" s="43"/>
      <c r="AM70" s="43"/>
      <c r="AN70" s="43"/>
      <c r="AO70" s="43"/>
      <c r="AP70" s="79"/>
      <c r="AQ70" s="151"/>
      <c r="AR70" s="43"/>
      <c r="AS70" s="43"/>
      <c r="AT70" s="43"/>
      <c r="AU70" s="43"/>
      <c r="AV70" s="43"/>
      <c r="AW70" s="43"/>
      <c r="AX70" s="44"/>
      <c r="AY70" s="43"/>
      <c r="AZ70" s="43"/>
      <c r="BA70" s="43"/>
      <c r="BB70" s="79"/>
      <c r="BC70" s="138"/>
      <c r="BE70" s="191">
        <f t="shared" si="8"/>
        <v>7320</v>
      </c>
      <c r="BF70" s="201">
        <f t="shared" si="9"/>
        <v>0</v>
      </c>
    </row>
    <row r="71" spans="1:58" ht="36">
      <c r="A71" s="123" t="s">
        <v>135</v>
      </c>
      <c r="B71" s="12">
        <v>2.1</v>
      </c>
      <c r="C71" s="222" t="s">
        <v>87</v>
      </c>
      <c r="D71" s="237">
        <v>4880</v>
      </c>
      <c r="E71" s="314">
        <f t="shared" si="6"/>
        <v>880</v>
      </c>
      <c r="F71" s="344">
        <v>1</v>
      </c>
      <c r="G71" s="214"/>
      <c r="H71" s="113"/>
      <c r="I71" s="113"/>
      <c r="J71" s="113"/>
      <c r="K71" s="66">
        <f>D71*I10</f>
        <v>1464</v>
      </c>
      <c r="L71" s="66">
        <f>D71-K71</f>
        <v>3416</v>
      </c>
      <c r="M71" s="59"/>
      <c r="N71" s="59"/>
      <c r="O71" s="59"/>
      <c r="P71" s="59"/>
      <c r="Q71" s="19"/>
      <c r="R71" s="79"/>
      <c r="S71" s="151"/>
      <c r="T71" s="43"/>
      <c r="U71" s="43"/>
      <c r="V71" s="43"/>
      <c r="W71" s="43"/>
      <c r="X71" s="43"/>
      <c r="Y71" s="43"/>
      <c r="Z71" s="43"/>
      <c r="AA71" s="43"/>
      <c r="AB71" s="43"/>
      <c r="AC71" s="43"/>
      <c r="AD71" s="86"/>
      <c r="AE71" s="78"/>
      <c r="AF71" s="43"/>
      <c r="AG71" s="43"/>
      <c r="AH71" s="43"/>
      <c r="AI71" s="43"/>
      <c r="AJ71" s="43"/>
      <c r="AK71" s="43"/>
      <c r="AL71" s="43"/>
      <c r="AM71" s="43"/>
      <c r="AN71" s="43"/>
      <c r="AO71" s="43"/>
      <c r="AP71" s="79"/>
      <c r="AQ71" s="151"/>
      <c r="AR71" s="43"/>
      <c r="AS71" s="43"/>
      <c r="AT71" s="43"/>
      <c r="AU71" s="43"/>
      <c r="AV71" s="43"/>
      <c r="AW71" s="43"/>
      <c r="AX71" s="44"/>
      <c r="AY71" s="43"/>
      <c r="AZ71" s="43"/>
      <c r="BA71" s="43"/>
      <c r="BB71" s="79"/>
      <c r="BC71" s="138"/>
      <c r="BE71" s="191">
        <f t="shared" si="8"/>
        <v>4880</v>
      </c>
      <c r="BF71" s="201">
        <f t="shared" si="9"/>
        <v>0</v>
      </c>
    </row>
    <row r="72" spans="1:58" ht="25.5">
      <c r="A72" s="123" t="s">
        <v>135</v>
      </c>
      <c r="B72" s="12">
        <v>2.1</v>
      </c>
      <c r="C72" s="223" t="s">
        <v>88</v>
      </c>
      <c r="D72" s="237">
        <v>52460</v>
      </c>
      <c r="E72" s="314">
        <f t="shared" si="6"/>
        <v>9460</v>
      </c>
      <c r="F72" s="344">
        <v>0.9388</v>
      </c>
      <c r="G72" s="214"/>
      <c r="H72" s="113"/>
      <c r="I72" s="113"/>
      <c r="J72" s="113"/>
      <c r="K72" s="66">
        <f>D72*I10</f>
        <v>15738</v>
      </c>
      <c r="L72" s="66">
        <f>D72-K72</f>
        <v>36722</v>
      </c>
      <c r="M72" s="59"/>
      <c r="N72" s="59"/>
      <c r="O72" s="59"/>
      <c r="P72" s="59"/>
      <c r="Q72" s="19"/>
      <c r="R72" s="79"/>
      <c r="S72" s="151"/>
      <c r="T72" s="43"/>
      <c r="U72" s="43"/>
      <c r="V72" s="43"/>
      <c r="W72" s="43"/>
      <c r="X72" s="43"/>
      <c r="Y72" s="43"/>
      <c r="Z72" s="43"/>
      <c r="AA72" s="43"/>
      <c r="AB72" s="43"/>
      <c r="AC72" s="43"/>
      <c r="AD72" s="86"/>
      <c r="AE72" s="78"/>
      <c r="AF72" s="43"/>
      <c r="AG72" s="43"/>
      <c r="AH72" s="43"/>
      <c r="AI72" s="43"/>
      <c r="AJ72" s="43"/>
      <c r="AK72" s="43"/>
      <c r="AL72" s="43"/>
      <c r="AM72" s="43"/>
      <c r="AN72" s="43"/>
      <c r="AO72" s="43"/>
      <c r="AP72" s="79"/>
      <c r="AQ72" s="151"/>
      <c r="AR72" s="43"/>
      <c r="AS72" s="43"/>
      <c r="AT72" s="43"/>
      <c r="AU72" s="43"/>
      <c r="AV72" s="43"/>
      <c r="AW72" s="43"/>
      <c r="AX72" s="44"/>
      <c r="AY72" s="43"/>
      <c r="AZ72" s="43"/>
      <c r="BA72" s="43"/>
      <c r="BB72" s="79"/>
      <c r="BC72" s="138"/>
      <c r="BE72" s="191">
        <f t="shared" si="8"/>
        <v>52460</v>
      </c>
      <c r="BF72" s="201">
        <f t="shared" si="9"/>
        <v>0</v>
      </c>
    </row>
    <row r="73" spans="1:58" ht="25.5">
      <c r="A73" s="123" t="s">
        <v>135</v>
      </c>
      <c r="B73" s="12">
        <v>2.1</v>
      </c>
      <c r="C73" s="224" t="s">
        <v>89</v>
      </c>
      <c r="D73" s="237">
        <v>62220</v>
      </c>
      <c r="E73" s="314">
        <f t="shared" si="6"/>
        <v>11220</v>
      </c>
      <c r="F73" s="344">
        <v>1</v>
      </c>
      <c r="G73" s="214"/>
      <c r="H73" s="113"/>
      <c r="I73" s="113"/>
      <c r="J73" s="113"/>
      <c r="K73" s="66">
        <f>D73*I10</f>
        <v>18666</v>
      </c>
      <c r="L73" s="66"/>
      <c r="M73" s="66">
        <f>D73-K73</f>
        <v>43554</v>
      </c>
      <c r="N73" s="59"/>
      <c r="O73" s="59"/>
      <c r="P73" s="59"/>
      <c r="Q73" s="19"/>
      <c r="R73" s="79"/>
      <c r="S73" s="151"/>
      <c r="T73" s="43"/>
      <c r="U73" s="43"/>
      <c r="V73" s="43"/>
      <c r="W73" s="43"/>
      <c r="X73" s="43"/>
      <c r="Y73" s="43"/>
      <c r="Z73" s="43"/>
      <c r="AA73" s="43"/>
      <c r="AB73" s="43"/>
      <c r="AC73" s="43"/>
      <c r="AD73" s="86"/>
      <c r="AE73" s="78"/>
      <c r="AF73" s="43"/>
      <c r="AG73" s="43"/>
      <c r="AH73" s="43"/>
      <c r="AI73" s="43"/>
      <c r="AJ73" s="43"/>
      <c r="AK73" s="43"/>
      <c r="AL73" s="43"/>
      <c r="AM73" s="43"/>
      <c r="AN73" s="43"/>
      <c r="AO73" s="43"/>
      <c r="AP73" s="79"/>
      <c r="AQ73" s="151"/>
      <c r="AR73" s="43"/>
      <c r="AS73" s="43"/>
      <c r="AT73" s="43"/>
      <c r="AU73" s="43"/>
      <c r="AV73" s="43"/>
      <c r="AW73" s="43"/>
      <c r="AX73" s="44"/>
      <c r="AY73" s="43"/>
      <c r="AZ73" s="43"/>
      <c r="BA73" s="43"/>
      <c r="BB73" s="79"/>
      <c r="BC73" s="138"/>
      <c r="BE73" s="191">
        <f t="shared" si="8"/>
        <v>62220</v>
      </c>
      <c r="BF73" s="201">
        <f t="shared" si="9"/>
        <v>0</v>
      </c>
    </row>
    <row r="74" spans="1:58" ht="36">
      <c r="A74" s="123" t="s">
        <v>135</v>
      </c>
      <c r="B74" s="12">
        <v>2.1</v>
      </c>
      <c r="C74" s="222" t="s">
        <v>90</v>
      </c>
      <c r="D74" s="237">
        <v>0</v>
      </c>
      <c r="E74" s="314">
        <f t="shared" si="6"/>
        <v>0</v>
      </c>
      <c r="F74" s="344">
        <v>1</v>
      </c>
      <c r="G74" s="78"/>
      <c r="H74" s="226" t="s">
        <v>183</v>
      </c>
      <c r="I74" s="48"/>
      <c r="J74" s="48"/>
      <c r="K74" s="48"/>
      <c r="L74" s="48"/>
      <c r="M74" s="77"/>
      <c r="N74" s="48"/>
      <c r="O74" s="48"/>
      <c r="P74" s="48"/>
      <c r="Q74" s="48"/>
      <c r="R74" s="52"/>
      <c r="S74" s="144"/>
      <c r="T74" s="43"/>
      <c r="U74" s="43"/>
      <c r="V74" s="43"/>
      <c r="W74" s="43"/>
      <c r="X74" s="43"/>
      <c r="Y74" s="43"/>
      <c r="Z74" s="43"/>
      <c r="AA74" s="43"/>
      <c r="AB74" s="43"/>
      <c r="AC74" s="43"/>
      <c r="AD74" s="86"/>
      <c r="AE74" s="78"/>
      <c r="AF74" s="43"/>
      <c r="AG74" s="43"/>
      <c r="AH74" s="43"/>
      <c r="AI74" s="43"/>
      <c r="AJ74" s="43"/>
      <c r="AK74" s="43"/>
      <c r="AL74" s="43"/>
      <c r="AM74" s="43"/>
      <c r="AN74" s="43"/>
      <c r="AO74" s="43"/>
      <c r="AP74" s="79"/>
      <c r="AQ74" s="151"/>
      <c r="AR74" s="43"/>
      <c r="AS74" s="43"/>
      <c r="AT74" s="43"/>
      <c r="AU74" s="43"/>
      <c r="AV74" s="43"/>
      <c r="AW74" s="43"/>
      <c r="AX74" s="44"/>
      <c r="AY74" s="43"/>
      <c r="AZ74" s="43"/>
      <c r="BA74" s="43"/>
      <c r="BB74" s="79"/>
      <c r="BC74" s="138"/>
      <c r="BE74" s="191">
        <f t="shared" si="8"/>
        <v>0</v>
      </c>
      <c r="BF74" s="201">
        <f t="shared" si="9"/>
        <v>0</v>
      </c>
    </row>
    <row r="75" spans="1:58" ht="36">
      <c r="A75" s="123" t="s">
        <v>135</v>
      </c>
      <c r="B75" s="12">
        <v>2.1</v>
      </c>
      <c r="C75" s="222" t="s">
        <v>91</v>
      </c>
      <c r="D75" s="237">
        <v>4880</v>
      </c>
      <c r="E75" s="314">
        <f t="shared" si="6"/>
        <v>880</v>
      </c>
      <c r="F75" s="344">
        <v>1</v>
      </c>
      <c r="G75" s="214"/>
      <c r="H75" s="113"/>
      <c r="I75" s="113"/>
      <c r="J75" s="113"/>
      <c r="K75" s="66">
        <f>D75</f>
        <v>4880</v>
      </c>
      <c r="L75" s="59"/>
      <c r="M75" s="48"/>
      <c r="N75" s="59"/>
      <c r="O75" s="59"/>
      <c r="P75" s="59"/>
      <c r="Q75" s="87"/>
      <c r="R75" s="79"/>
      <c r="S75" s="151"/>
      <c r="T75" s="43"/>
      <c r="U75" s="43"/>
      <c r="V75" s="43"/>
      <c r="W75" s="43"/>
      <c r="X75" s="43"/>
      <c r="Y75" s="43"/>
      <c r="Z75" s="43"/>
      <c r="AA75" s="43"/>
      <c r="AB75" s="43"/>
      <c r="AC75" s="43"/>
      <c r="AD75" s="86"/>
      <c r="AE75" s="78"/>
      <c r="AF75" s="43"/>
      <c r="AG75" s="43"/>
      <c r="AH75" s="43"/>
      <c r="AI75" s="43"/>
      <c r="AJ75" s="43"/>
      <c r="AK75" s="43"/>
      <c r="AL75" s="43"/>
      <c r="AM75" s="43"/>
      <c r="AN75" s="43"/>
      <c r="AO75" s="43"/>
      <c r="AP75" s="79"/>
      <c r="AQ75" s="151"/>
      <c r="AR75" s="43"/>
      <c r="AS75" s="43"/>
      <c r="AT75" s="43"/>
      <c r="AU75" s="43"/>
      <c r="AV75" s="43"/>
      <c r="AW75" s="43"/>
      <c r="AX75" s="44"/>
      <c r="AY75" s="43"/>
      <c r="AZ75" s="43"/>
      <c r="BA75" s="43"/>
      <c r="BB75" s="79"/>
      <c r="BC75" s="138"/>
      <c r="BE75" s="191">
        <f t="shared" si="8"/>
        <v>4880</v>
      </c>
      <c r="BF75" s="201">
        <f t="shared" si="9"/>
        <v>0</v>
      </c>
    </row>
    <row r="76" spans="1:58" ht="25.5">
      <c r="A76" s="123" t="s">
        <v>135</v>
      </c>
      <c r="B76" s="12">
        <v>2.1</v>
      </c>
      <c r="C76" s="222" t="s">
        <v>92</v>
      </c>
      <c r="D76" s="237">
        <v>4880</v>
      </c>
      <c r="E76" s="314">
        <f t="shared" si="6"/>
        <v>880</v>
      </c>
      <c r="F76" s="344">
        <v>1</v>
      </c>
      <c r="G76" s="214"/>
      <c r="H76" s="113"/>
      <c r="I76" s="113"/>
      <c r="J76" s="113"/>
      <c r="K76" s="66">
        <f>D76</f>
        <v>4880</v>
      </c>
      <c r="L76" s="59"/>
      <c r="M76" s="48"/>
      <c r="N76" s="59"/>
      <c r="O76" s="59"/>
      <c r="P76" s="59"/>
      <c r="Q76" s="43"/>
      <c r="R76" s="79"/>
      <c r="S76" s="151"/>
      <c r="T76" s="43"/>
      <c r="U76" s="43"/>
      <c r="V76" s="43"/>
      <c r="W76" s="43"/>
      <c r="X76" s="43"/>
      <c r="Y76" s="43"/>
      <c r="Z76" s="43"/>
      <c r="AA76" s="43"/>
      <c r="AB76" s="43"/>
      <c r="AC76" s="43"/>
      <c r="AD76" s="86"/>
      <c r="AE76" s="78"/>
      <c r="AF76" s="43"/>
      <c r="AG76" s="43"/>
      <c r="AH76" s="43"/>
      <c r="AI76" s="43"/>
      <c r="AJ76" s="43"/>
      <c r="AK76" s="43"/>
      <c r="AL76" s="43"/>
      <c r="AM76" s="43"/>
      <c r="AN76" s="43"/>
      <c r="AO76" s="43"/>
      <c r="AP76" s="79"/>
      <c r="AQ76" s="151"/>
      <c r="AR76" s="43"/>
      <c r="AS76" s="43"/>
      <c r="AT76" s="43"/>
      <c r="AU76" s="43"/>
      <c r="AV76" s="43"/>
      <c r="AW76" s="43"/>
      <c r="AX76" s="44"/>
      <c r="AY76" s="43"/>
      <c r="AZ76" s="43"/>
      <c r="BA76" s="43"/>
      <c r="BB76" s="79"/>
      <c r="BC76" s="138"/>
      <c r="BE76" s="191">
        <f t="shared" si="8"/>
        <v>4880</v>
      </c>
      <c r="BF76" s="201">
        <f t="shared" si="9"/>
        <v>0</v>
      </c>
    </row>
    <row r="77" spans="1:58" ht="25.5">
      <c r="A77" s="123" t="s">
        <v>135</v>
      </c>
      <c r="B77" s="12">
        <v>2.1</v>
      </c>
      <c r="C77" s="222" t="s">
        <v>93</v>
      </c>
      <c r="D77" s="237">
        <v>45140</v>
      </c>
      <c r="E77" s="314">
        <f t="shared" si="6"/>
        <v>8140</v>
      </c>
      <c r="F77" s="344">
        <v>1</v>
      </c>
      <c r="G77" s="214"/>
      <c r="H77" s="113"/>
      <c r="I77" s="113"/>
      <c r="J77" s="113"/>
      <c r="K77" s="19"/>
      <c r="L77" s="19"/>
      <c r="M77" s="19"/>
      <c r="N77" s="19"/>
      <c r="O77" s="19"/>
      <c r="P77" s="19"/>
      <c r="Q77" s="19"/>
      <c r="R77" s="79"/>
      <c r="S77" s="151"/>
      <c r="T77" s="43"/>
      <c r="U77" s="19"/>
      <c r="V77" s="19"/>
      <c r="W77" s="19"/>
      <c r="X77" s="66">
        <f>D77*I10</f>
        <v>13542</v>
      </c>
      <c r="Y77" s="66"/>
      <c r="Z77" s="114"/>
      <c r="AA77" s="66"/>
      <c r="AB77" s="66"/>
      <c r="AC77" s="66"/>
      <c r="AD77" s="86">
        <f>D77-X77</f>
        <v>31598</v>
      </c>
      <c r="AE77" s="214"/>
      <c r="AF77" s="19"/>
      <c r="AG77" s="19"/>
      <c r="AH77" s="43"/>
      <c r="AI77" s="43"/>
      <c r="AJ77" s="43"/>
      <c r="AK77" s="43"/>
      <c r="AL77" s="43"/>
      <c r="AM77" s="43"/>
      <c r="AN77" s="43"/>
      <c r="AO77" s="43"/>
      <c r="AP77" s="79"/>
      <c r="AQ77" s="151"/>
      <c r="AR77" s="43"/>
      <c r="AS77" s="43"/>
      <c r="AT77" s="43"/>
      <c r="AU77" s="43"/>
      <c r="AV77" s="43"/>
      <c r="AW77" s="43"/>
      <c r="AX77" s="44"/>
      <c r="AY77" s="43"/>
      <c r="AZ77" s="43"/>
      <c r="BA77" s="43"/>
      <c r="BB77" s="79"/>
      <c r="BC77" s="138"/>
      <c r="BE77" s="191">
        <f t="shared" si="8"/>
        <v>45140</v>
      </c>
      <c r="BF77" s="201">
        <f t="shared" si="9"/>
        <v>0</v>
      </c>
    </row>
    <row r="78" spans="1:58" ht="36">
      <c r="A78" s="123" t="s">
        <v>135</v>
      </c>
      <c r="B78" s="12">
        <v>2.1</v>
      </c>
      <c r="C78" s="222" t="s">
        <v>94</v>
      </c>
      <c r="D78" s="237">
        <v>48190</v>
      </c>
      <c r="E78" s="314">
        <f t="shared" si="6"/>
        <v>8690</v>
      </c>
      <c r="F78" s="344">
        <v>1</v>
      </c>
      <c r="G78" s="214"/>
      <c r="H78" s="113"/>
      <c r="I78" s="113"/>
      <c r="J78" s="113"/>
      <c r="K78" s="19"/>
      <c r="L78" s="19"/>
      <c r="M78" s="19"/>
      <c r="N78" s="19"/>
      <c r="O78" s="19"/>
      <c r="P78" s="19"/>
      <c r="Q78" s="19"/>
      <c r="R78" s="79"/>
      <c r="S78" s="151"/>
      <c r="T78" s="43"/>
      <c r="U78" s="19"/>
      <c r="V78" s="19"/>
      <c r="W78" s="19"/>
      <c r="X78" s="66">
        <f>D78*I10</f>
        <v>14457</v>
      </c>
      <c r="Y78" s="66"/>
      <c r="Z78" s="114"/>
      <c r="AA78" s="66"/>
      <c r="AB78" s="66"/>
      <c r="AC78" s="66"/>
      <c r="AD78" s="86">
        <f>D78-X78</f>
        <v>33733</v>
      </c>
      <c r="AE78" s="214"/>
      <c r="AF78" s="19"/>
      <c r="AG78" s="19"/>
      <c r="AH78" s="43"/>
      <c r="AI78" s="43"/>
      <c r="AJ78" s="43"/>
      <c r="AK78" s="43"/>
      <c r="AL78" s="43"/>
      <c r="AM78" s="43"/>
      <c r="AN78" s="43"/>
      <c r="AO78" s="43"/>
      <c r="AP78" s="79"/>
      <c r="AQ78" s="151"/>
      <c r="AR78" s="43"/>
      <c r="AS78" s="43"/>
      <c r="AT78" s="43"/>
      <c r="AU78" s="43"/>
      <c r="AV78" s="43"/>
      <c r="AW78" s="43"/>
      <c r="AX78" s="44"/>
      <c r="AY78" s="43"/>
      <c r="AZ78" s="43"/>
      <c r="BA78" s="43"/>
      <c r="BB78" s="79"/>
      <c r="BC78" s="138"/>
      <c r="BE78" s="191">
        <f t="shared" si="8"/>
        <v>48190</v>
      </c>
      <c r="BF78" s="201">
        <f t="shared" si="9"/>
        <v>0</v>
      </c>
    </row>
    <row r="79" spans="1:58" ht="25.5">
      <c r="A79" s="123" t="s">
        <v>135</v>
      </c>
      <c r="B79" s="12">
        <v>2.1</v>
      </c>
      <c r="C79" s="222" t="s">
        <v>95</v>
      </c>
      <c r="D79" s="237">
        <v>48800</v>
      </c>
      <c r="E79" s="314">
        <f t="shared" si="6"/>
        <v>8800</v>
      </c>
      <c r="F79" s="344">
        <v>1</v>
      </c>
      <c r="G79" s="214"/>
      <c r="H79" s="113"/>
      <c r="I79" s="113"/>
      <c r="J79" s="113"/>
      <c r="K79" s="19"/>
      <c r="L79" s="19"/>
      <c r="M79" s="19"/>
      <c r="N79" s="19"/>
      <c r="O79" s="19"/>
      <c r="P79" s="19"/>
      <c r="Q79" s="19"/>
      <c r="R79" s="79"/>
      <c r="S79" s="151"/>
      <c r="T79" s="43"/>
      <c r="U79" s="19"/>
      <c r="V79" s="19"/>
      <c r="W79" s="19"/>
      <c r="X79" s="66">
        <f>D79*I10</f>
        <v>14640</v>
      </c>
      <c r="Y79" s="66"/>
      <c r="Z79" s="114"/>
      <c r="AA79" s="66"/>
      <c r="AB79" s="66"/>
      <c r="AC79" s="66"/>
      <c r="AD79" s="86">
        <f>D79-X79</f>
        <v>34160</v>
      </c>
      <c r="AE79" s="214"/>
      <c r="AF79" s="19"/>
      <c r="AG79" s="19"/>
      <c r="AH79" s="43"/>
      <c r="AI79" s="43"/>
      <c r="AJ79" s="43"/>
      <c r="AK79" s="43"/>
      <c r="AL79" s="43"/>
      <c r="AM79" s="43"/>
      <c r="AN79" s="43"/>
      <c r="AO79" s="43"/>
      <c r="AP79" s="79"/>
      <c r="AQ79" s="151"/>
      <c r="AR79" s="43"/>
      <c r="AS79" s="43"/>
      <c r="AT79" s="43"/>
      <c r="AU79" s="43"/>
      <c r="AV79" s="43"/>
      <c r="AW79" s="43"/>
      <c r="AX79" s="44"/>
      <c r="AY79" s="43"/>
      <c r="AZ79" s="43"/>
      <c r="BA79" s="43"/>
      <c r="BB79" s="79"/>
      <c r="BC79" s="138"/>
      <c r="BE79" s="191">
        <f t="shared" si="8"/>
        <v>48800</v>
      </c>
      <c r="BF79" s="201">
        <f t="shared" si="9"/>
        <v>0</v>
      </c>
    </row>
    <row r="80" spans="1:58" ht="25.5">
      <c r="A80" s="123" t="s">
        <v>135</v>
      </c>
      <c r="B80" s="21">
        <v>2.1</v>
      </c>
      <c r="C80" s="225" t="s">
        <v>43</v>
      </c>
      <c r="D80" s="237">
        <v>1122</v>
      </c>
      <c r="E80" s="314">
        <f t="shared" si="6"/>
        <v>202.327868852459</v>
      </c>
      <c r="F80" s="344">
        <v>1</v>
      </c>
      <c r="G80" s="214"/>
      <c r="H80" s="113"/>
      <c r="I80" s="113"/>
      <c r="J80" s="113"/>
      <c r="K80" s="66">
        <f>D80</f>
        <v>1122</v>
      </c>
      <c r="L80" s="59"/>
      <c r="M80" s="48"/>
      <c r="N80" s="59"/>
      <c r="O80" s="59"/>
      <c r="P80" s="59"/>
      <c r="Q80" s="87"/>
      <c r="R80" s="79"/>
      <c r="S80" s="151"/>
      <c r="T80" s="43"/>
      <c r="U80" s="43"/>
      <c r="V80" s="43"/>
      <c r="W80" s="43"/>
      <c r="X80" s="43"/>
      <c r="Y80" s="43"/>
      <c r="Z80" s="43"/>
      <c r="AA80" s="43"/>
      <c r="AB80" s="43"/>
      <c r="AC80" s="43"/>
      <c r="AD80" s="86"/>
      <c r="AE80" s="78"/>
      <c r="AF80" s="43"/>
      <c r="AG80" s="43"/>
      <c r="AH80" s="43"/>
      <c r="AI80" s="43"/>
      <c r="AJ80" s="43"/>
      <c r="AK80" s="43"/>
      <c r="AL80" s="43"/>
      <c r="AM80" s="43"/>
      <c r="AN80" s="43"/>
      <c r="AO80" s="43"/>
      <c r="AP80" s="79"/>
      <c r="AQ80" s="151"/>
      <c r="AR80" s="43"/>
      <c r="AS80" s="43"/>
      <c r="AT80" s="43"/>
      <c r="AU80" s="43"/>
      <c r="AV80" s="43"/>
      <c r="AW80" s="43"/>
      <c r="AX80" s="44"/>
      <c r="AY80" s="43"/>
      <c r="AZ80" s="43"/>
      <c r="BA80" s="43"/>
      <c r="BB80" s="79"/>
      <c r="BC80" s="138"/>
      <c r="BE80" s="191">
        <f t="shared" si="8"/>
        <v>1122</v>
      </c>
      <c r="BF80" s="201">
        <f t="shared" si="9"/>
        <v>0</v>
      </c>
    </row>
    <row r="81" spans="1:58" ht="36">
      <c r="A81" s="123" t="s">
        <v>135</v>
      </c>
      <c r="B81" s="12">
        <v>3.1</v>
      </c>
      <c r="C81" s="222" t="s">
        <v>9</v>
      </c>
      <c r="D81" s="237">
        <v>11200</v>
      </c>
      <c r="E81" s="314">
        <f t="shared" si="6"/>
        <v>2019.672131147541</v>
      </c>
      <c r="F81" s="344">
        <v>0.981</v>
      </c>
      <c r="G81" s="214"/>
      <c r="H81" s="113"/>
      <c r="I81" s="113"/>
      <c r="J81" s="113"/>
      <c r="K81" s="66">
        <f>D81</f>
        <v>11200</v>
      </c>
      <c r="L81" s="59"/>
      <c r="M81" s="48"/>
      <c r="N81" s="59"/>
      <c r="O81" s="59"/>
      <c r="P81" s="59"/>
      <c r="Q81" s="87"/>
      <c r="R81" s="79"/>
      <c r="S81" s="151"/>
      <c r="T81" s="43"/>
      <c r="U81" s="43"/>
      <c r="V81" s="43"/>
      <c r="W81" s="43"/>
      <c r="X81" s="43"/>
      <c r="Y81" s="43"/>
      <c r="Z81" s="43"/>
      <c r="AA81" s="43"/>
      <c r="AB81" s="43"/>
      <c r="AC81" s="43"/>
      <c r="AD81" s="86"/>
      <c r="AE81" s="78"/>
      <c r="AF81" s="43"/>
      <c r="AG81" s="43"/>
      <c r="AH81" s="43"/>
      <c r="AI81" s="43"/>
      <c r="AJ81" s="43"/>
      <c r="AK81" s="43"/>
      <c r="AL81" s="43"/>
      <c r="AM81" s="43"/>
      <c r="AN81" s="43"/>
      <c r="AO81" s="43"/>
      <c r="AP81" s="79"/>
      <c r="AQ81" s="151"/>
      <c r="AR81" s="43"/>
      <c r="AS81" s="43"/>
      <c r="AT81" s="43"/>
      <c r="AU81" s="43"/>
      <c r="AV81" s="43"/>
      <c r="AW81" s="43"/>
      <c r="AX81" s="44"/>
      <c r="AY81" s="43"/>
      <c r="AZ81" s="43"/>
      <c r="BA81" s="43"/>
      <c r="BB81" s="79"/>
      <c r="BC81" s="138"/>
      <c r="BE81" s="191">
        <f t="shared" si="8"/>
        <v>11200</v>
      </c>
      <c r="BF81" s="201">
        <f t="shared" si="9"/>
        <v>0</v>
      </c>
    </row>
    <row r="82" spans="1:58" ht="38.25">
      <c r="A82" s="123" t="s">
        <v>136</v>
      </c>
      <c r="B82" s="12">
        <v>2.1</v>
      </c>
      <c r="C82" s="219" t="s">
        <v>182</v>
      </c>
      <c r="D82" s="162"/>
      <c r="E82" s="314"/>
      <c r="F82" s="341"/>
      <c r="G82" s="353"/>
      <c r="H82" s="210"/>
      <c r="I82" s="210"/>
      <c r="J82" s="210"/>
      <c r="K82" s="59"/>
      <c r="L82" s="59"/>
      <c r="M82" s="59"/>
      <c r="N82" s="59"/>
      <c r="O82" s="59"/>
      <c r="P82" s="59"/>
      <c r="Q82" s="59"/>
      <c r="R82" s="60"/>
      <c r="S82" s="147"/>
      <c r="T82" s="59"/>
      <c r="U82" s="59"/>
      <c r="V82" s="59"/>
      <c r="W82" s="59"/>
      <c r="X82" s="59"/>
      <c r="Y82" s="48"/>
      <c r="Z82" s="59"/>
      <c r="AA82" s="59"/>
      <c r="AB82" s="59"/>
      <c r="AC82" s="48"/>
      <c r="AD82" s="258"/>
      <c r="AE82" s="78"/>
      <c r="AF82" s="43"/>
      <c r="AG82" s="43"/>
      <c r="AH82" s="43"/>
      <c r="AI82" s="43"/>
      <c r="AJ82" s="43"/>
      <c r="AK82" s="43"/>
      <c r="AL82" s="43"/>
      <c r="AM82" s="43"/>
      <c r="AN82" s="43"/>
      <c r="AO82" s="43"/>
      <c r="AP82" s="79"/>
      <c r="AQ82" s="151"/>
      <c r="AR82" s="43"/>
      <c r="AS82" s="43"/>
      <c r="AT82" s="43"/>
      <c r="AU82" s="43"/>
      <c r="AV82" s="43"/>
      <c r="AW82" s="43"/>
      <c r="AX82" s="44"/>
      <c r="AY82" s="43"/>
      <c r="AZ82" s="43"/>
      <c r="BA82" s="43"/>
      <c r="BB82" s="79"/>
      <c r="BC82" s="138"/>
      <c r="BE82" s="191">
        <f t="shared" si="8"/>
        <v>0</v>
      </c>
      <c r="BF82" s="201">
        <f t="shared" si="9"/>
        <v>0</v>
      </c>
    </row>
    <row r="83" spans="1:58" ht="38.25">
      <c r="A83" s="123" t="s">
        <v>136</v>
      </c>
      <c r="B83" s="12">
        <v>2.1</v>
      </c>
      <c r="C83" s="220" t="s">
        <v>180</v>
      </c>
      <c r="D83" s="218">
        <v>126000</v>
      </c>
      <c r="E83" s="314">
        <f aca="true" t="shared" si="11" ref="E83:E146">22*D83/122</f>
        <v>22721.311475409835</v>
      </c>
      <c r="F83" s="341">
        <v>0.9944</v>
      </c>
      <c r="G83" s="214"/>
      <c r="H83" s="113"/>
      <c r="I83" s="113"/>
      <c r="J83" s="113"/>
      <c r="K83" s="66">
        <f>D83*I10</f>
        <v>37800</v>
      </c>
      <c r="L83" s="66"/>
      <c r="M83" s="66"/>
      <c r="N83" s="90"/>
      <c r="O83" s="59">
        <f>D83-K83</f>
        <v>88200</v>
      </c>
      <c r="P83" s="59"/>
      <c r="Q83" s="59"/>
      <c r="R83" s="60"/>
      <c r="S83" s="147"/>
      <c r="T83" s="59"/>
      <c r="U83" s="59"/>
      <c r="V83" s="59"/>
      <c r="W83" s="59"/>
      <c r="X83" s="59"/>
      <c r="Y83" s="48"/>
      <c r="Z83" s="59"/>
      <c r="AA83" s="59"/>
      <c r="AB83" s="59"/>
      <c r="AC83" s="19"/>
      <c r="AD83" s="259"/>
      <c r="AE83" s="78"/>
      <c r="AF83" s="43"/>
      <c r="AG83" s="43"/>
      <c r="AH83" s="43"/>
      <c r="AI83" s="43"/>
      <c r="AJ83" s="43"/>
      <c r="AK83" s="43"/>
      <c r="AL83" s="43"/>
      <c r="AM83" s="43"/>
      <c r="AN83" s="43"/>
      <c r="AO83" s="43"/>
      <c r="AP83" s="79"/>
      <c r="AQ83" s="151"/>
      <c r="AR83" s="43"/>
      <c r="AS83" s="43"/>
      <c r="AT83" s="43"/>
      <c r="AU83" s="43"/>
      <c r="AV83" s="43"/>
      <c r="AW83" s="43"/>
      <c r="AX83" s="44"/>
      <c r="AY83" s="43"/>
      <c r="AZ83" s="43"/>
      <c r="BA83" s="43"/>
      <c r="BB83" s="79"/>
      <c r="BC83" s="138"/>
      <c r="BE83" s="191">
        <f aca="true" t="shared" si="12" ref="BE83:BE146">SUM(G83:BB83)</f>
        <v>126000</v>
      </c>
      <c r="BF83" s="201">
        <f aca="true" t="shared" si="13" ref="BF83:BF146">BE83-D83</f>
        <v>0</v>
      </c>
    </row>
    <row r="84" spans="1:58" ht="38.25">
      <c r="A84" s="123" t="s">
        <v>136</v>
      </c>
      <c r="B84" s="12">
        <v>2.1</v>
      </c>
      <c r="C84" s="220" t="s">
        <v>181</v>
      </c>
      <c r="D84" s="156">
        <v>93391</v>
      </c>
      <c r="E84" s="314">
        <f t="shared" si="11"/>
        <v>16841</v>
      </c>
      <c r="F84" s="341">
        <v>0.9944</v>
      </c>
      <c r="G84" s="47"/>
      <c r="H84" s="113"/>
      <c r="I84" s="113"/>
      <c r="J84" s="113"/>
      <c r="K84" s="66">
        <f>D84*I10</f>
        <v>28017.3</v>
      </c>
      <c r="L84" s="114"/>
      <c r="M84" s="114"/>
      <c r="N84" s="114"/>
      <c r="O84" s="69"/>
      <c r="P84" s="69"/>
      <c r="Q84" s="59">
        <f>D84-K84</f>
        <v>65373.7</v>
      </c>
      <c r="R84" s="52"/>
      <c r="S84" s="147"/>
      <c r="T84" s="59"/>
      <c r="U84" s="59"/>
      <c r="V84" s="59"/>
      <c r="W84" s="59"/>
      <c r="X84" s="59"/>
      <c r="Y84" s="59"/>
      <c r="Z84" s="59"/>
      <c r="AA84" s="59"/>
      <c r="AB84" s="59"/>
      <c r="AC84" s="19"/>
      <c r="AD84" s="260"/>
      <c r="AE84" s="78"/>
      <c r="AF84" s="43"/>
      <c r="AG84" s="43"/>
      <c r="AH84" s="43"/>
      <c r="AI84" s="43"/>
      <c r="AJ84" s="43"/>
      <c r="AK84" s="43"/>
      <c r="AL84" s="43"/>
      <c r="AM84" s="43"/>
      <c r="AN84" s="43"/>
      <c r="AO84" s="43"/>
      <c r="AP84" s="79"/>
      <c r="AQ84" s="151"/>
      <c r="AR84" s="43"/>
      <c r="AS84" s="43"/>
      <c r="AT84" s="43"/>
      <c r="AU84" s="43"/>
      <c r="AV84" s="43"/>
      <c r="AW84" s="43"/>
      <c r="AX84" s="44"/>
      <c r="AY84" s="43"/>
      <c r="AZ84" s="43"/>
      <c r="BA84" s="43"/>
      <c r="BB84" s="79"/>
      <c r="BC84" s="138"/>
      <c r="BE84" s="191">
        <f t="shared" si="12"/>
        <v>93391</v>
      </c>
      <c r="BF84" s="201">
        <f t="shared" si="13"/>
        <v>0</v>
      </c>
    </row>
    <row r="85" spans="1:58" s="6" customFormat="1" ht="14.25">
      <c r="A85" s="330" t="s">
        <v>124</v>
      </c>
      <c r="B85" s="17" t="s">
        <v>137</v>
      </c>
      <c r="C85" s="30"/>
      <c r="D85" s="157"/>
      <c r="E85" s="315"/>
      <c r="F85" s="342"/>
      <c r="G85" s="352"/>
      <c r="H85" s="53"/>
      <c r="I85" s="53"/>
      <c r="J85" s="54"/>
      <c r="K85" s="54"/>
      <c r="L85" s="54"/>
      <c r="M85" s="54"/>
      <c r="N85" s="54"/>
      <c r="O85" s="54"/>
      <c r="P85" s="54"/>
      <c r="Q85" s="54"/>
      <c r="R85" s="55"/>
      <c r="S85" s="145"/>
      <c r="T85" s="54"/>
      <c r="U85" s="54"/>
      <c r="V85" s="54"/>
      <c r="W85" s="54"/>
      <c r="X85" s="54"/>
      <c r="Y85" s="54"/>
      <c r="Z85" s="54"/>
      <c r="AA85" s="54"/>
      <c r="AB85" s="54"/>
      <c r="AC85" s="54"/>
      <c r="AD85" s="132"/>
      <c r="AE85" s="56"/>
      <c r="AF85" s="54"/>
      <c r="AG85" s="54"/>
      <c r="AH85" s="54"/>
      <c r="AI85" s="54"/>
      <c r="AJ85" s="54"/>
      <c r="AK85" s="54"/>
      <c r="AL85" s="54"/>
      <c r="AM85" s="54"/>
      <c r="AN85" s="54"/>
      <c r="AO85" s="54"/>
      <c r="AP85" s="55"/>
      <c r="AQ85" s="145"/>
      <c r="AR85" s="54"/>
      <c r="AS85" s="54"/>
      <c r="AT85" s="54"/>
      <c r="AU85" s="54"/>
      <c r="AV85" s="54"/>
      <c r="AW85" s="54"/>
      <c r="AX85" s="44"/>
      <c r="AY85" s="54"/>
      <c r="AZ85" s="54"/>
      <c r="BA85" s="54"/>
      <c r="BB85" s="55"/>
      <c r="BC85" s="192"/>
      <c r="BD85" s="187"/>
      <c r="BE85" s="191">
        <f t="shared" si="12"/>
        <v>0</v>
      </c>
      <c r="BF85" s="201">
        <f t="shared" si="13"/>
        <v>0</v>
      </c>
    </row>
    <row r="86" spans="1:58" s="10" customFormat="1" ht="38.25">
      <c r="A86" s="125" t="s">
        <v>138</v>
      </c>
      <c r="B86" s="12">
        <v>1.1</v>
      </c>
      <c r="C86" s="217" t="s">
        <v>159</v>
      </c>
      <c r="D86" s="156">
        <f>387+2464</f>
        <v>2851</v>
      </c>
      <c r="E86" s="314">
        <f t="shared" si="11"/>
        <v>514.1147540983607</v>
      </c>
      <c r="F86" s="341">
        <v>1</v>
      </c>
      <c r="G86" s="354"/>
      <c r="H86" s="57"/>
      <c r="I86" s="57"/>
      <c r="J86" s="57"/>
      <c r="K86" s="95">
        <f>D86*I10</f>
        <v>855.3</v>
      </c>
      <c r="L86" s="49"/>
      <c r="M86" s="49"/>
      <c r="N86" s="49"/>
      <c r="O86" s="49"/>
      <c r="P86" s="49"/>
      <c r="Q86" s="49"/>
      <c r="R86" s="50"/>
      <c r="S86" s="146"/>
      <c r="T86" s="59">
        <f>D86-K86</f>
        <v>1995.7</v>
      </c>
      <c r="U86" s="48"/>
      <c r="V86" s="48"/>
      <c r="W86" s="48"/>
      <c r="X86" s="48"/>
      <c r="Y86" s="48"/>
      <c r="Z86" s="48"/>
      <c r="AA86" s="48"/>
      <c r="AB86" s="48"/>
      <c r="AC86" s="48"/>
      <c r="AD86" s="121"/>
      <c r="AE86" s="47"/>
      <c r="AF86" s="48"/>
      <c r="AG86" s="48"/>
      <c r="AH86" s="48"/>
      <c r="AI86" s="48"/>
      <c r="AJ86" s="48"/>
      <c r="AK86" s="48"/>
      <c r="AL86" s="48"/>
      <c r="AM86" s="48"/>
      <c r="AN86" s="48"/>
      <c r="AO86" s="48"/>
      <c r="AP86" s="52"/>
      <c r="AQ86" s="144"/>
      <c r="AR86" s="48"/>
      <c r="AS86" s="48"/>
      <c r="AT86" s="48"/>
      <c r="AU86" s="48"/>
      <c r="AV86" s="48"/>
      <c r="AW86" s="48"/>
      <c r="AX86" s="44"/>
      <c r="AY86" s="48"/>
      <c r="AZ86" s="48"/>
      <c r="BA86" s="48"/>
      <c r="BB86" s="52"/>
      <c r="BC86" s="138"/>
      <c r="BD86" s="196"/>
      <c r="BE86" s="191">
        <f t="shared" si="12"/>
        <v>2851</v>
      </c>
      <c r="BF86" s="201">
        <f t="shared" si="13"/>
        <v>0</v>
      </c>
    </row>
    <row r="87" spans="1:58" s="3" customFormat="1" ht="38.25">
      <c r="A87" s="125" t="s">
        <v>138</v>
      </c>
      <c r="B87" s="12">
        <v>2.1</v>
      </c>
      <c r="C87" s="217" t="s">
        <v>101</v>
      </c>
      <c r="D87" s="156">
        <v>50000</v>
      </c>
      <c r="E87" s="314">
        <f t="shared" si="11"/>
        <v>9016.393442622952</v>
      </c>
      <c r="F87" s="341">
        <v>0.9666</v>
      </c>
      <c r="G87" s="355"/>
      <c r="H87" s="57"/>
      <c r="I87" s="57"/>
      <c r="J87" s="57"/>
      <c r="K87" s="66">
        <f>D87</f>
        <v>50000</v>
      </c>
      <c r="L87" s="59"/>
      <c r="M87" s="59"/>
      <c r="N87" s="59"/>
      <c r="O87" s="59"/>
      <c r="P87" s="59"/>
      <c r="Q87" s="59"/>
      <c r="R87" s="60"/>
      <c r="S87" s="147"/>
      <c r="T87" s="81"/>
      <c r="U87" s="70"/>
      <c r="V87" s="70"/>
      <c r="W87" s="70"/>
      <c r="X87" s="70"/>
      <c r="Y87" s="70"/>
      <c r="Z87" s="70"/>
      <c r="AA87" s="70"/>
      <c r="AB87" s="70"/>
      <c r="AC87" s="70"/>
      <c r="AD87" s="120"/>
      <c r="AE87" s="73"/>
      <c r="AF87" s="70"/>
      <c r="AG87" s="70"/>
      <c r="AH87" s="70"/>
      <c r="AI87" s="70"/>
      <c r="AJ87" s="70"/>
      <c r="AK87" s="70"/>
      <c r="AL87" s="70"/>
      <c r="AM87" s="70"/>
      <c r="AN87" s="70"/>
      <c r="AO87" s="70"/>
      <c r="AP87" s="74"/>
      <c r="AQ87" s="149"/>
      <c r="AR87" s="70"/>
      <c r="AS87" s="70"/>
      <c r="AT87" s="70"/>
      <c r="AU87" s="70"/>
      <c r="AV87" s="70"/>
      <c r="AW87" s="70"/>
      <c r="AX87" s="75"/>
      <c r="AY87" s="70"/>
      <c r="AZ87" s="70"/>
      <c r="BA87" s="70"/>
      <c r="BB87" s="74"/>
      <c r="BC87" s="138"/>
      <c r="BD87" s="194"/>
      <c r="BE87" s="191">
        <f t="shared" si="12"/>
        <v>50000</v>
      </c>
      <c r="BF87" s="201">
        <f t="shared" si="13"/>
        <v>0</v>
      </c>
    </row>
    <row r="88" spans="1:58" s="3" customFormat="1" ht="38.25">
      <c r="A88" s="125" t="s">
        <v>138</v>
      </c>
      <c r="B88" s="12">
        <v>2.1</v>
      </c>
      <c r="C88" s="217" t="s">
        <v>102</v>
      </c>
      <c r="D88" s="156">
        <v>19042</v>
      </c>
      <c r="E88" s="314">
        <f t="shared" si="11"/>
        <v>3433.8032786885246</v>
      </c>
      <c r="F88" s="341">
        <v>0.9666</v>
      </c>
      <c r="G88" s="355"/>
      <c r="H88" s="57"/>
      <c r="I88" s="57"/>
      <c r="J88" s="57"/>
      <c r="K88" s="329">
        <f>D88*I10</f>
        <v>5712.599999999999</v>
      </c>
      <c r="L88" s="66">
        <f>D88-K88</f>
        <v>13329.400000000001</v>
      </c>
      <c r="M88" s="59"/>
      <c r="N88" s="59"/>
      <c r="O88" s="59"/>
      <c r="P88" s="59"/>
      <c r="Q88" s="59"/>
      <c r="R88" s="60"/>
      <c r="S88" s="147"/>
      <c r="T88" s="81"/>
      <c r="U88" s="70"/>
      <c r="V88" s="70"/>
      <c r="W88" s="70"/>
      <c r="X88" s="70"/>
      <c r="Y88" s="70"/>
      <c r="Z88" s="70"/>
      <c r="AA88" s="70"/>
      <c r="AB88" s="70"/>
      <c r="AC88" s="70"/>
      <c r="AD88" s="120"/>
      <c r="AE88" s="73"/>
      <c r="AF88" s="70"/>
      <c r="AG88" s="70"/>
      <c r="AH88" s="70"/>
      <c r="AI88" s="70"/>
      <c r="AJ88" s="70"/>
      <c r="AK88" s="70"/>
      <c r="AL88" s="70"/>
      <c r="AM88" s="70"/>
      <c r="AN88" s="70"/>
      <c r="AO88" s="70"/>
      <c r="AP88" s="74"/>
      <c r="AQ88" s="149"/>
      <c r="AR88" s="70"/>
      <c r="AS88" s="70"/>
      <c r="AT88" s="70"/>
      <c r="AU88" s="70"/>
      <c r="AV88" s="70"/>
      <c r="AW88" s="70"/>
      <c r="AX88" s="75"/>
      <c r="AY88" s="70"/>
      <c r="AZ88" s="70"/>
      <c r="BA88" s="70"/>
      <c r="BB88" s="74"/>
      <c r="BC88" s="138"/>
      <c r="BD88" s="194"/>
      <c r="BE88" s="191">
        <f t="shared" si="12"/>
        <v>19042</v>
      </c>
      <c r="BF88" s="201">
        <f t="shared" si="13"/>
        <v>0</v>
      </c>
    </row>
    <row r="89" spans="1:58" s="6" customFormat="1" ht="14.25">
      <c r="A89" s="330" t="s">
        <v>124</v>
      </c>
      <c r="B89" s="17" t="s">
        <v>139</v>
      </c>
      <c r="C89" s="30"/>
      <c r="D89" s="157"/>
      <c r="E89" s="315"/>
      <c r="F89" s="342"/>
      <c r="G89" s="352"/>
      <c r="H89" s="53"/>
      <c r="I89" s="53"/>
      <c r="J89" s="54"/>
      <c r="K89" s="54"/>
      <c r="L89" s="54"/>
      <c r="M89" s="54"/>
      <c r="N89" s="54"/>
      <c r="O89" s="54"/>
      <c r="P89" s="54"/>
      <c r="Q89" s="54"/>
      <c r="R89" s="55"/>
      <c r="S89" s="145"/>
      <c r="T89" s="54"/>
      <c r="U89" s="54"/>
      <c r="V89" s="54"/>
      <c r="W89" s="54"/>
      <c r="X89" s="54"/>
      <c r="Y89" s="54"/>
      <c r="Z89" s="54"/>
      <c r="AA89" s="54"/>
      <c r="AB89" s="54"/>
      <c r="AC89" s="54"/>
      <c r="AD89" s="132"/>
      <c r="AE89" s="56"/>
      <c r="AF89" s="54"/>
      <c r="AG89" s="54"/>
      <c r="AH89" s="54"/>
      <c r="AI89" s="54"/>
      <c r="AJ89" s="54"/>
      <c r="AK89" s="54"/>
      <c r="AL89" s="54"/>
      <c r="AM89" s="54"/>
      <c r="AN89" s="54"/>
      <c r="AO89" s="54"/>
      <c r="AP89" s="55"/>
      <c r="AQ89" s="145"/>
      <c r="AR89" s="54"/>
      <c r="AS89" s="54"/>
      <c r="AT89" s="54"/>
      <c r="AU89" s="54"/>
      <c r="AV89" s="54"/>
      <c r="AW89" s="54"/>
      <c r="AX89" s="44"/>
      <c r="AY89" s="54"/>
      <c r="AZ89" s="54"/>
      <c r="BA89" s="54"/>
      <c r="BB89" s="55"/>
      <c r="BC89" s="192"/>
      <c r="BD89" s="187"/>
      <c r="BE89" s="191">
        <f t="shared" si="12"/>
        <v>0</v>
      </c>
      <c r="BF89" s="201">
        <f t="shared" si="13"/>
        <v>0</v>
      </c>
    </row>
    <row r="90" spans="1:58" s="2" customFormat="1" ht="25.5">
      <c r="A90" s="123" t="s">
        <v>140</v>
      </c>
      <c r="B90" s="12">
        <v>2.1</v>
      </c>
      <c r="C90" s="29" t="s">
        <v>44</v>
      </c>
      <c r="D90" s="156">
        <v>10000</v>
      </c>
      <c r="E90" s="314">
        <f t="shared" si="11"/>
        <v>1803.27868852459</v>
      </c>
      <c r="F90" s="341">
        <v>0.9682</v>
      </c>
      <c r="G90" s="211"/>
      <c r="H90" s="57" t="s">
        <v>63</v>
      </c>
      <c r="I90" s="57"/>
      <c r="J90" s="57"/>
      <c r="K90" s="66">
        <f>D90*I10</f>
        <v>3000</v>
      </c>
      <c r="L90" s="66"/>
      <c r="M90" s="66"/>
      <c r="N90" s="63">
        <f>D90-K90</f>
        <v>7000</v>
      </c>
      <c r="O90" s="70"/>
      <c r="P90" s="70"/>
      <c r="Q90" s="70"/>
      <c r="R90" s="74"/>
      <c r="S90" s="149"/>
      <c r="T90" s="70"/>
      <c r="U90" s="70"/>
      <c r="V90" s="70"/>
      <c r="W90" s="70"/>
      <c r="X90" s="70"/>
      <c r="Y90" s="70"/>
      <c r="Z90" s="70"/>
      <c r="AA90" s="70"/>
      <c r="AB90" s="70"/>
      <c r="AC90" s="70"/>
      <c r="AD90" s="120"/>
      <c r="AE90" s="73"/>
      <c r="AF90" s="70"/>
      <c r="AG90" s="70"/>
      <c r="AH90" s="70"/>
      <c r="AI90" s="70"/>
      <c r="AJ90" s="70"/>
      <c r="AK90" s="70"/>
      <c r="AL90" s="70"/>
      <c r="AM90" s="70"/>
      <c r="AN90" s="70"/>
      <c r="AO90" s="70"/>
      <c r="AP90" s="74"/>
      <c r="AQ90" s="149"/>
      <c r="AR90" s="70"/>
      <c r="AS90" s="70"/>
      <c r="AT90" s="70"/>
      <c r="AU90" s="70"/>
      <c r="AV90" s="70"/>
      <c r="AW90" s="70"/>
      <c r="AX90" s="75"/>
      <c r="AY90" s="70"/>
      <c r="AZ90" s="70"/>
      <c r="BA90" s="70"/>
      <c r="BB90" s="74"/>
      <c r="BC90" s="138"/>
      <c r="BD90" s="193"/>
      <c r="BE90" s="191">
        <f t="shared" si="12"/>
        <v>10000</v>
      </c>
      <c r="BF90" s="201">
        <f t="shared" si="13"/>
        <v>0</v>
      </c>
    </row>
    <row r="91" spans="1:58" s="2" customFormat="1" ht="25.5">
      <c r="A91" s="123" t="s">
        <v>140</v>
      </c>
      <c r="B91" s="21">
        <v>2.1</v>
      </c>
      <c r="C91" s="31" t="s">
        <v>192</v>
      </c>
      <c r="D91" s="156">
        <v>30000</v>
      </c>
      <c r="E91" s="314">
        <f t="shared" si="11"/>
        <v>5409.836065573771</v>
      </c>
      <c r="F91" s="341">
        <v>0.9682</v>
      </c>
      <c r="G91" s="211"/>
      <c r="H91" s="46"/>
      <c r="I91" s="46"/>
      <c r="J91" s="46"/>
      <c r="K91" s="46"/>
      <c r="L91" s="46"/>
      <c r="M91" s="46"/>
      <c r="N91" s="46"/>
      <c r="O91" s="57" t="s">
        <v>63</v>
      </c>
      <c r="P91" s="57"/>
      <c r="Q91" s="57"/>
      <c r="R91" s="66">
        <f>D91*I10</f>
        <v>9000</v>
      </c>
      <c r="S91" s="66"/>
      <c r="T91" s="66"/>
      <c r="U91" s="63">
        <f>D91-R91</f>
        <v>21000</v>
      </c>
      <c r="V91" s="70"/>
      <c r="W91" s="70"/>
      <c r="X91" s="70"/>
      <c r="Y91" s="70"/>
      <c r="Z91" s="70"/>
      <c r="AA91" s="70"/>
      <c r="AB91" s="70"/>
      <c r="AC91" s="70"/>
      <c r="AD91" s="120"/>
      <c r="AE91" s="73"/>
      <c r="AF91" s="70"/>
      <c r="AG91" s="70"/>
      <c r="AH91" s="70"/>
      <c r="AI91" s="70"/>
      <c r="AJ91" s="70"/>
      <c r="AK91" s="70"/>
      <c r="AL91" s="70"/>
      <c r="AM91" s="70"/>
      <c r="AN91" s="70"/>
      <c r="AO91" s="70"/>
      <c r="AP91" s="74"/>
      <c r="AQ91" s="149"/>
      <c r="AR91" s="70"/>
      <c r="AS91" s="70"/>
      <c r="AT91" s="70"/>
      <c r="AU91" s="70"/>
      <c r="AV91" s="70"/>
      <c r="AW91" s="70"/>
      <c r="AX91" s="75"/>
      <c r="AY91" s="70"/>
      <c r="AZ91" s="70"/>
      <c r="BA91" s="70"/>
      <c r="BB91" s="74"/>
      <c r="BC91" s="195"/>
      <c r="BD91" s="193"/>
      <c r="BE91" s="191">
        <f t="shared" si="12"/>
        <v>30000</v>
      </c>
      <c r="BF91" s="201">
        <f t="shared" si="13"/>
        <v>0</v>
      </c>
    </row>
    <row r="92" spans="1:58" s="2" customFormat="1" ht="25.5">
      <c r="A92" s="123" t="s">
        <v>140</v>
      </c>
      <c r="B92" s="12">
        <v>2.1</v>
      </c>
      <c r="C92" s="29" t="s">
        <v>45</v>
      </c>
      <c r="D92" s="156">
        <v>6000</v>
      </c>
      <c r="E92" s="314">
        <f t="shared" si="11"/>
        <v>1081.967213114754</v>
      </c>
      <c r="F92" s="341">
        <v>0.9682</v>
      </c>
      <c r="G92" s="211"/>
      <c r="H92" s="57" t="s">
        <v>63</v>
      </c>
      <c r="I92" s="57"/>
      <c r="J92" s="57"/>
      <c r="K92" s="66">
        <f>D92*I10</f>
        <v>1800</v>
      </c>
      <c r="L92" s="66"/>
      <c r="M92" s="66"/>
      <c r="N92" s="63">
        <f>D92-K92</f>
        <v>4200</v>
      </c>
      <c r="O92" s="70"/>
      <c r="P92" s="70"/>
      <c r="Q92" s="70"/>
      <c r="R92" s="74"/>
      <c r="S92" s="149"/>
      <c r="T92" s="70"/>
      <c r="U92" s="70"/>
      <c r="V92" s="70"/>
      <c r="W92" s="70"/>
      <c r="X92" s="70"/>
      <c r="Y92" s="70"/>
      <c r="Z92" s="70"/>
      <c r="AA92" s="70"/>
      <c r="AB92" s="70"/>
      <c r="AC92" s="70"/>
      <c r="AD92" s="120"/>
      <c r="AE92" s="73"/>
      <c r="AF92" s="70"/>
      <c r="AG92" s="70"/>
      <c r="AH92" s="70"/>
      <c r="AI92" s="70"/>
      <c r="AJ92" s="70"/>
      <c r="AK92" s="70"/>
      <c r="AL92" s="70"/>
      <c r="AM92" s="70"/>
      <c r="AN92" s="70"/>
      <c r="AO92" s="70"/>
      <c r="AP92" s="74"/>
      <c r="AQ92" s="149"/>
      <c r="AR92" s="70"/>
      <c r="AS92" s="70"/>
      <c r="AT92" s="70"/>
      <c r="AU92" s="70"/>
      <c r="AV92" s="70"/>
      <c r="AW92" s="70"/>
      <c r="AX92" s="75"/>
      <c r="AY92" s="70"/>
      <c r="AZ92" s="70"/>
      <c r="BA92" s="70"/>
      <c r="BB92" s="74"/>
      <c r="BC92" s="138"/>
      <c r="BD92" s="193"/>
      <c r="BE92" s="191">
        <f t="shared" si="12"/>
        <v>6000</v>
      </c>
      <c r="BF92" s="201">
        <f t="shared" si="13"/>
        <v>0</v>
      </c>
    </row>
    <row r="93" spans="1:58" s="2" customFormat="1" ht="60">
      <c r="A93" s="123" t="s">
        <v>140</v>
      </c>
      <c r="B93" s="12">
        <v>2.1</v>
      </c>
      <c r="C93" s="29" t="s">
        <v>67</v>
      </c>
      <c r="D93" s="156">
        <v>45407</v>
      </c>
      <c r="E93" s="314">
        <f t="shared" si="11"/>
        <v>8188.147540983607</v>
      </c>
      <c r="F93" s="341">
        <v>0.9682</v>
      </c>
      <c r="G93" s="211"/>
      <c r="H93" s="46"/>
      <c r="I93" s="46"/>
      <c r="J93" s="46"/>
      <c r="K93" s="46"/>
      <c r="L93" s="46"/>
      <c r="M93" s="46"/>
      <c r="N93" s="46"/>
      <c r="O93" s="57" t="s">
        <v>63</v>
      </c>
      <c r="P93" s="57"/>
      <c r="Q93" s="57"/>
      <c r="R93" s="66">
        <f>D93*I10</f>
        <v>13622.1</v>
      </c>
      <c r="S93" s="66"/>
      <c r="T93" s="66"/>
      <c r="U93" s="66"/>
      <c r="V93" s="66"/>
      <c r="W93" s="66"/>
      <c r="X93" s="87">
        <f>D93-R93</f>
        <v>31784.9</v>
      </c>
      <c r="Y93" s="70"/>
      <c r="Z93" s="70"/>
      <c r="AA93" s="70"/>
      <c r="AB93" s="70"/>
      <c r="AC93" s="70"/>
      <c r="AD93" s="120"/>
      <c r="AE93" s="73"/>
      <c r="AF93" s="70"/>
      <c r="AG93" s="70"/>
      <c r="AH93" s="70"/>
      <c r="AI93" s="70"/>
      <c r="AJ93" s="70"/>
      <c r="AK93" s="70"/>
      <c r="AL93" s="70"/>
      <c r="AM93" s="70"/>
      <c r="AN93" s="70"/>
      <c r="AO93" s="70"/>
      <c r="AP93" s="74"/>
      <c r="AQ93" s="149"/>
      <c r="AR93" s="70"/>
      <c r="AS93" s="70"/>
      <c r="AT93" s="70"/>
      <c r="AU93" s="70"/>
      <c r="AV93" s="70"/>
      <c r="AW93" s="70"/>
      <c r="AX93" s="75"/>
      <c r="AY93" s="70"/>
      <c r="AZ93" s="70"/>
      <c r="BA93" s="70"/>
      <c r="BB93" s="74"/>
      <c r="BC93" s="138"/>
      <c r="BD93" s="193"/>
      <c r="BE93" s="191">
        <f t="shared" si="12"/>
        <v>45407</v>
      </c>
      <c r="BF93" s="201">
        <f t="shared" si="13"/>
        <v>0</v>
      </c>
    </row>
    <row r="94" spans="1:58" s="6" customFormat="1" ht="14.25">
      <c r="A94" s="330" t="s">
        <v>124</v>
      </c>
      <c r="B94" s="17" t="s">
        <v>141</v>
      </c>
      <c r="C94" s="30"/>
      <c r="D94" s="157"/>
      <c r="E94" s="315"/>
      <c r="F94" s="342"/>
      <c r="G94" s="352"/>
      <c r="H94" s="53"/>
      <c r="I94" s="53"/>
      <c r="J94" s="54"/>
      <c r="K94" s="54"/>
      <c r="L94" s="54"/>
      <c r="M94" s="54"/>
      <c r="N94" s="54"/>
      <c r="O94" s="54"/>
      <c r="P94" s="54"/>
      <c r="Q94" s="54"/>
      <c r="R94" s="55"/>
      <c r="S94" s="145"/>
      <c r="T94" s="54"/>
      <c r="U94" s="54"/>
      <c r="V94" s="54"/>
      <c r="W94" s="54"/>
      <c r="X94" s="54"/>
      <c r="Y94" s="54"/>
      <c r="Z94" s="54"/>
      <c r="AA94" s="54"/>
      <c r="AB94" s="54"/>
      <c r="AC94" s="54"/>
      <c r="AD94" s="132"/>
      <c r="AE94" s="56"/>
      <c r="AF94" s="54"/>
      <c r="AG94" s="54"/>
      <c r="AH94" s="54"/>
      <c r="AI94" s="54"/>
      <c r="AJ94" s="54"/>
      <c r="AK94" s="54"/>
      <c r="AL94" s="54"/>
      <c r="AM94" s="54"/>
      <c r="AN94" s="54"/>
      <c r="AO94" s="54"/>
      <c r="AP94" s="55"/>
      <c r="AQ94" s="145"/>
      <c r="AR94" s="54"/>
      <c r="AS94" s="54"/>
      <c r="AT94" s="54"/>
      <c r="AU94" s="54"/>
      <c r="AV94" s="54"/>
      <c r="AW94" s="54"/>
      <c r="AX94" s="44"/>
      <c r="AY94" s="54"/>
      <c r="AZ94" s="54"/>
      <c r="BA94" s="54"/>
      <c r="BB94" s="55"/>
      <c r="BC94" s="192"/>
      <c r="BD94" s="187"/>
      <c r="BE94" s="191">
        <f t="shared" si="12"/>
        <v>0</v>
      </c>
      <c r="BF94" s="201">
        <f t="shared" si="13"/>
        <v>0</v>
      </c>
    </row>
    <row r="95" spans="1:58" s="7" customFormat="1" ht="48">
      <c r="A95" s="331" t="s">
        <v>142</v>
      </c>
      <c r="B95" s="12">
        <v>1.1</v>
      </c>
      <c r="C95" s="217" t="s">
        <v>160</v>
      </c>
      <c r="D95" s="156">
        <v>9600</v>
      </c>
      <c r="E95" s="314">
        <f t="shared" si="11"/>
        <v>1731.1475409836066</v>
      </c>
      <c r="F95" s="341">
        <v>0.9681</v>
      </c>
      <c r="G95" s="356"/>
      <c r="H95" s="115"/>
      <c r="I95" s="116"/>
      <c r="J95" s="116"/>
      <c r="K95" s="85">
        <f>D95*I10</f>
        <v>2880</v>
      </c>
      <c r="L95" s="85"/>
      <c r="M95" s="85"/>
      <c r="N95" s="126">
        <f>D95-K95</f>
        <v>6720</v>
      </c>
      <c r="O95" s="92"/>
      <c r="P95" s="92"/>
      <c r="Q95" s="92"/>
      <c r="R95" s="93"/>
      <c r="S95" s="152"/>
      <c r="T95" s="92"/>
      <c r="U95" s="92"/>
      <c r="V95" s="92"/>
      <c r="W95" s="92"/>
      <c r="X95" s="92"/>
      <c r="Y95" s="92"/>
      <c r="Z95" s="92"/>
      <c r="AA95" s="92"/>
      <c r="AB95" s="92"/>
      <c r="AC95" s="92"/>
      <c r="AD95" s="135"/>
      <c r="AE95" s="91"/>
      <c r="AF95" s="92"/>
      <c r="AG95" s="92"/>
      <c r="AH95" s="92"/>
      <c r="AI95" s="92"/>
      <c r="AJ95" s="92"/>
      <c r="AK95" s="92"/>
      <c r="AL95" s="92"/>
      <c r="AM95" s="92"/>
      <c r="AN95" s="92"/>
      <c r="AO95" s="92"/>
      <c r="AP95" s="93"/>
      <c r="AQ95" s="152"/>
      <c r="AR95" s="92"/>
      <c r="AS95" s="92"/>
      <c r="AT95" s="92"/>
      <c r="AU95" s="92"/>
      <c r="AV95" s="92"/>
      <c r="AW95" s="92"/>
      <c r="AX95" s="94"/>
      <c r="AY95" s="92"/>
      <c r="AZ95" s="92"/>
      <c r="BA95" s="92"/>
      <c r="BB95" s="93"/>
      <c r="BC95" s="197"/>
      <c r="BD95" s="198"/>
      <c r="BE95" s="191">
        <f t="shared" si="12"/>
        <v>9600</v>
      </c>
      <c r="BF95" s="201">
        <f t="shared" si="13"/>
        <v>0</v>
      </c>
    </row>
    <row r="96" spans="1:58" s="5" customFormat="1" ht="36">
      <c r="A96" s="331" t="s">
        <v>142</v>
      </c>
      <c r="B96" s="21">
        <v>2.1</v>
      </c>
      <c r="C96" s="217" t="s">
        <v>96</v>
      </c>
      <c r="D96" s="156">
        <v>12875</v>
      </c>
      <c r="E96" s="314">
        <f t="shared" si="11"/>
        <v>2321.72131147541</v>
      </c>
      <c r="F96" s="341">
        <v>0.9682</v>
      </c>
      <c r="G96" s="357"/>
      <c r="H96" s="117"/>
      <c r="I96" s="117"/>
      <c r="J96" s="117"/>
      <c r="K96" s="66">
        <f>D96*I10</f>
        <v>3862.5</v>
      </c>
      <c r="L96" s="66"/>
      <c r="M96" s="66"/>
      <c r="N96" s="66"/>
      <c r="O96" s="66"/>
      <c r="P96" s="66"/>
      <c r="Q96" s="129">
        <f>D96-K96</f>
        <v>9012.5</v>
      </c>
      <c r="R96" s="143"/>
      <c r="S96" s="153"/>
      <c r="T96" s="127"/>
      <c r="U96" s="127"/>
      <c r="V96" s="127"/>
      <c r="W96" s="127"/>
      <c r="X96" s="127"/>
      <c r="Y96" s="127"/>
      <c r="Z96" s="127"/>
      <c r="AA96" s="127"/>
      <c r="AB96" s="127"/>
      <c r="AC96" s="127"/>
      <c r="AD96" s="136"/>
      <c r="AE96" s="142"/>
      <c r="AF96" s="127"/>
      <c r="AG96" s="127"/>
      <c r="AH96" s="127"/>
      <c r="AI96" s="127"/>
      <c r="AJ96" s="127"/>
      <c r="AK96" s="127"/>
      <c r="AL96" s="127"/>
      <c r="AM96" s="127"/>
      <c r="AN96" s="127"/>
      <c r="AO96" s="127"/>
      <c r="AP96" s="143"/>
      <c r="AQ96" s="153"/>
      <c r="AR96" s="127"/>
      <c r="AS96" s="127"/>
      <c r="AT96" s="127"/>
      <c r="AU96" s="127"/>
      <c r="AV96" s="127"/>
      <c r="AW96" s="127"/>
      <c r="AX96" s="128"/>
      <c r="AY96" s="127"/>
      <c r="AZ96" s="127"/>
      <c r="BA96" s="127"/>
      <c r="BB96" s="143"/>
      <c r="BC96" s="138"/>
      <c r="BD96" s="199"/>
      <c r="BE96" s="191">
        <f t="shared" si="12"/>
        <v>12875</v>
      </c>
      <c r="BF96" s="201">
        <f t="shared" si="13"/>
        <v>0</v>
      </c>
    </row>
    <row r="97" spans="1:58" s="5" customFormat="1" ht="36">
      <c r="A97" s="331" t="s">
        <v>142</v>
      </c>
      <c r="B97" s="21">
        <v>2.1</v>
      </c>
      <c r="C97" s="217" t="s">
        <v>97</v>
      </c>
      <c r="D97" s="156">
        <v>29795</v>
      </c>
      <c r="E97" s="314">
        <f t="shared" si="11"/>
        <v>5372.868852459016</v>
      </c>
      <c r="F97" s="341">
        <v>0.9682</v>
      </c>
      <c r="G97" s="357"/>
      <c r="H97" s="117"/>
      <c r="I97" s="117"/>
      <c r="J97" s="117"/>
      <c r="K97" s="66">
        <f>D97*I10</f>
        <v>8938.5</v>
      </c>
      <c r="L97" s="66"/>
      <c r="M97" s="66"/>
      <c r="N97" s="129">
        <f>D97-K97</f>
        <v>20856.5</v>
      </c>
      <c r="O97" s="127"/>
      <c r="P97" s="127"/>
      <c r="Q97" s="127"/>
      <c r="R97" s="143"/>
      <c r="S97" s="153"/>
      <c r="T97" s="127"/>
      <c r="U97" s="127"/>
      <c r="V97" s="127"/>
      <c r="W97" s="127"/>
      <c r="X97" s="127"/>
      <c r="Y97" s="127"/>
      <c r="Z97" s="127"/>
      <c r="AA97" s="127"/>
      <c r="AB97" s="127"/>
      <c r="AC97" s="127"/>
      <c r="AD97" s="136"/>
      <c r="AE97" s="142"/>
      <c r="AF97" s="127"/>
      <c r="AG97" s="127"/>
      <c r="AH97" s="127"/>
      <c r="AI97" s="127"/>
      <c r="AJ97" s="127"/>
      <c r="AK97" s="127"/>
      <c r="AL97" s="127"/>
      <c r="AM97" s="127"/>
      <c r="AN97" s="127"/>
      <c r="AO97" s="127"/>
      <c r="AP97" s="143"/>
      <c r="AQ97" s="153"/>
      <c r="AR97" s="127"/>
      <c r="AS97" s="127"/>
      <c r="AT97" s="127"/>
      <c r="AU97" s="127"/>
      <c r="AV97" s="127"/>
      <c r="AW97" s="127"/>
      <c r="AX97" s="128"/>
      <c r="AY97" s="127"/>
      <c r="AZ97" s="127"/>
      <c r="BA97" s="127"/>
      <c r="BB97" s="143"/>
      <c r="BC97" s="138"/>
      <c r="BD97" s="199"/>
      <c r="BE97" s="191">
        <f t="shared" si="12"/>
        <v>29795</v>
      </c>
      <c r="BF97" s="201">
        <f t="shared" si="13"/>
        <v>0</v>
      </c>
    </row>
    <row r="98" spans="1:58" s="5" customFormat="1" ht="36">
      <c r="A98" s="331" t="s">
        <v>142</v>
      </c>
      <c r="B98" s="21">
        <v>2.1</v>
      </c>
      <c r="C98" s="217" t="s">
        <v>98</v>
      </c>
      <c r="D98" s="156">
        <v>28867</v>
      </c>
      <c r="E98" s="314">
        <f t="shared" si="11"/>
        <v>5205.524590163935</v>
      </c>
      <c r="F98" s="341">
        <v>0.9682</v>
      </c>
      <c r="G98" s="357"/>
      <c r="H98" s="117"/>
      <c r="I98" s="117"/>
      <c r="J98" s="117"/>
      <c r="K98" s="66">
        <f>D98*I10</f>
        <v>8660.1</v>
      </c>
      <c r="L98" s="66"/>
      <c r="M98" s="66"/>
      <c r="N98" s="66"/>
      <c r="O98" s="66"/>
      <c r="P98" s="66"/>
      <c r="Q98" s="129">
        <f>D98-K98</f>
        <v>20206.9</v>
      </c>
      <c r="R98" s="143"/>
      <c r="S98" s="153"/>
      <c r="T98" s="127"/>
      <c r="U98" s="127"/>
      <c r="V98" s="127"/>
      <c r="W98" s="127"/>
      <c r="X98" s="127"/>
      <c r="Y98" s="127"/>
      <c r="Z98" s="127"/>
      <c r="AA98" s="127"/>
      <c r="AB98" s="127"/>
      <c r="AC98" s="127"/>
      <c r="AD98" s="136"/>
      <c r="AE98" s="142"/>
      <c r="AF98" s="127"/>
      <c r="AG98" s="127"/>
      <c r="AH98" s="127"/>
      <c r="AI98" s="127"/>
      <c r="AJ98" s="127"/>
      <c r="AK98" s="127"/>
      <c r="AL98" s="127"/>
      <c r="AM98" s="127"/>
      <c r="AN98" s="127"/>
      <c r="AO98" s="127"/>
      <c r="AP98" s="143"/>
      <c r="AQ98" s="153"/>
      <c r="AR98" s="127"/>
      <c r="AS98" s="127"/>
      <c r="AT98" s="127"/>
      <c r="AU98" s="127"/>
      <c r="AV98" s="127"/>
      <c r="AW98" s="127"/>
      <c r="AX98" s="128"/>
      <c r="AY98" s="127"/>
      <c r="AZ98" s="127"/>
      <c r="BA98" s="127"/>
      <c r="BB98" s="143"/>
      <c r="BC98" s="138"/>
      <c r="BD98" s="199"/>
      <c r="BE98" s="191">
        <f t="shared" si="12"/>
        <v>28867</v>
      </c>
      <c r="BF98" s="201">
        <f t="shared" si="13"/>
        <v>0</v>
      </c>
    </row>
    <row r="99" spans="1:58" s="5" customFormat="1" ht="48">
      <c r="A99" s="331" t="s">
        <v>142</v>
      </c>
      <c r="B99" s="12">
        <v>2.1</v>
      </c>
      <c r="C99" s="217" t="s">
        <v>99</v>
      </c>
      <c r="D99" s="156">
        <v>31750</v>
      </c>
      <c r="E99" s="314">
        <f t="shared" si="11"/>
        <v>5725.4098360655735</v>
      </c>
      <c r="F99" s="341">
        <v>0.9682</v>
      </c>
      <c r="G99" s="357"/>
      <c r="H99" s="118"/>
      <c r="I99" s="118"/>
      <c r="J99" s="118"/>
      <c r="K99" s="66">
        <f>D99*I10</f>
        <v>9525</v>
      </c>
      <c r="L99" s="66"/>
      <c r="M99" s="66"/>
      <c r="N99" s="66"/>
      <c r="O99" s="66"/>
      <c r="P99" s="66"/>
      <c r="Q99" s="66"/>
      <c r="R99" s="67"/>
      <c r="S99" s="148"/>
      <c r="T99" s="66"/>
      <c r="U99" s="66"/>
      <c r="V99" s="66"/>
      <c r="W99" s="129">
        <f>D99-K99</f>
        <v>22225</v>
      </c>
      <c r="X99" s="127"/>
      <c r="Y99" s="127"/>
      <c r="Z99" s="127"/>
      <c r="AA99" s="127"/>
      <c r="AB99" s="127"/>
      <c r="AC99" s="127"/>
      <c r="AD99" s="136"/>
      <c r="AE99" s="142"/>
      <c r="AF99" s="127"/>
      <c r="AG99" s="127"/>
      <c r="AH99" s="127"/>
      <c r="AI99" s="127"/>
      <c r="AJ99" s="127"/>
      <c r="AK99" s="127"/>
      <c r="AL99" s="127"/>
      <c r="AM99" s="127"/>
      <c r="AN99" s="127"/>
      <c r="AO99" s="127"/>
      <c r="AP99" s="143"/>
      <c r="AQ99" s="153"/>
      <c r="AR99" s="127"/>
      <c r="AS99" s="127"/>
      <c r="AT99" s="127"/>
      <c r="AU99" s="127"/>
      <c r="AV99" s="127"/>
      <c r="AW99" s="127"/>
      <c r="AX99" s="128"/>
      <c r="AY99" s="127"/>
      <c r="AZ99" s="127"/>
      <c r="BA99" s="127"/>
      <c r="BB99" s="143"/>
      <c r="BC99" s="138"/>
      <c r="BD99" s="199"/>
      <c r="BE99" s="191">
        <f t="shared" si="12"/>
        <v>31750</v>
      </c>
      <c r="BF99" s="201">
        <f t="shared" si="13"/>
        <v>0</v>
      </c>
    </row>
    <row r="100" spans="1:58" s="5" customFormat="1" ht="36">
      <c r="A100" s="331" t="s">
        <v>142</v>
      </c>
      <c r="B100" s="130">
        <v>3.1</v>
      </c>
      <c r="C100" s="217" t="s">
        <v>10</v>
      </c>
      <c r="D100" s="156">
        <v>30000</v>
      </c>
      <c r="E100" s="314">
        <f t="shared" si="11"/>
        <v>5409.836065573771</v>
      </c>
      <c r="F100" s="341">
        <v>0.981</v>
      </c>
      <c r="G100" s="357"/>
      <c r="H100" s="117"/>
      <c r="I100" s="117"/>
      <c r="J100" s="117"/>
      <c r="K100" s="66">
        <f>D100*I10</f>
        <v>9000</v>
      </c>
      <c r="L100" s="66"/>
      <c r="M100" s="66"/>
      <c r="N100" s="129">
        <f>D100-K100</f>
        <v>21000</v>
      </c>
      <c r="O100" s="127"/>
      <c r="P100" s="127"/>
      <c r="Q100" s="127"/>
      <c r="R100" s="143"/>
      <c r="S100" s="153"/>
      <c r="T100" s="127"/>
      <c r="U100" s="127"/>
      <c r="V100" s="127"/>
      <c r="W100" s="127"/>
      <c r="X100" s="127"/>
      <c r="Y100" s="127"/>
      <c r="Z100" s="127"/>
      <c r="AA100" s="127"/>
      <c r="AB100" s="127"/>
      <c r="AC100" s="127"/>
      <c r="AD100" s="136"/>
      <c r="AE100" s="142"/>
      <c r="AF100" s="127"/>
      <c r="AG100" s="127"/>
      <c r="AH100" s="127"/>
      <c r="AI100" s="127"/>
      <c r="AJ100" s="127"/>
      <c r="AK100" s="127"/>
      <c r="AL100" s="127"/>
      <c r="AM100" s="127"/>
      <c r="AN100" s="127"/>
      <c r="AO100" s="127"/>
      <c r="AP100" s="143"/>
      <c r="AQ100" s="153"/>
      <c r="AR100" s="127"/>
      <c r="AS100" s="127"/>
      <c r="AT100" s="127"/>
      <c r="AU100" s="127"/>
      <c r="AV100" s="127"/>
      <c r="AW100" s="127"/>
      <c r="AX100" s="128"/>
      <c r="AY100" s="127"/>
      <c r="AZ100" s="127"/>
      <c r="BA100" s="127"/>
      <c r="BB100" s="143"/>
      <c r="BC100" s="138"/>
      <c r="BD100" s="199"/>
      <c r="BE100" s="191">
        <f t="shared" si="12"/>
        <v>30000</v>
      </c>
      <c r="BF100" s="201">
        <f t="shared" si="13"/>
        <v>0</v>
      </c>
    </row>
    <row r="101" spans="1:58" s="6" customFormat="1" ht="14.25">
      <c r="A101" s="330" t="s">
        <v>124</v>
      </c>
      <c r="B101" s="17" t="s">
        <v>116</v>
      </c>
      <c r="C101" s="30"/>
      <c r="D101" s="157"/>
      <c r="E101" s="315"/>
      <c r="F101" s="342"/>
      <c r="G101" s="352"/>
      <c r="H101" s="53"/>
      <c r="I101" s="53"/>
      <c r="J101" s="54"/>
      <c r="K101" s="54"/>
      <c r="L101" s="54"/>
      <c r="M101" s="54"/>
      <c r="N101" s="54"/>
      <c r="O101" s="54"/>
      <c r="P101" s="54"/>
      <c r="Q101" s="54"/>
      <c r="R101" s="55"/>
      <c r="S101" s="145"/>
      <c r="T101" s="54"/>
      <c r="U101" s="54"/>
      <c r="V101" s="54"/>
      <c r="W101" s="54"/>
      <c r="X101" s="54"/>
      <c r="Y101" s="54"/>
      <c r="Z101" s="54"/>
      <c r="AA101" s="54"/>
      <c r="AB101" s="54"/>
      <c r="AC101" s="54"/>
      <c r="AD101" s="132"/>
      <c r="AE101" s="56"/>
      <c r="AF101" s="54"/>
      <c r="AG101" s="54"/>
      <c r="AH101" s="54"/>
      <c r="AI101" s="54"/>
      <c r="AJ101" s="54"/>
      <c r="AK101" s="54"/>
      <c r="AL101" s="54"/>
      <c r="AM101" s="54"/>
      <c r="AN101" s="54"/>
      <c r="AO101" s="54"/>
      <c r="AP101" s="55"/>
      <c r="AQ101" s="145"/>
      <c r="AR101" s="54"/>
      <c r="AS101" s="54"/>
      <c r="AT101" s="54"/>
      <c r="AU101" s="54"/>
      <c r="AV101" s="54"/>
      <c r="AW101" s="54"/>
      <c r="AX101" s="44"/>
      <c r="AY101" s="54"/>
      <c r="AZ101" s="54"/>
      <c r="BA101" s="54"/>
      <c r="BB101" s="55"/>
      <c r="BC101" s="192"/>
      <c r="BD101" s="187"/>
      <c r="BE101" s="191">
        <f t="shared" si="12"/>
        <v>0</v>
      </c>
      <c r="BF101" s="201">
        <f t="shared" si="13"/>
        <v>0</v>
      </c>
    </row>
    <row r="102" spans="1:58" ht="48" outlineLevel="1">
      <c r="A102" s="125" t="s">
        <v>117</v>
      </c>
      <c r="B102" s="12">
        <v>1.3</v>
      </c>
      <c r="C102" s="217" t="s">
        <v>161</v>
      </c>
      <c r="D102" s="156">
        <v>77640</v>
      </c>
      <c r="E102" s="314">
        <f t="shared" si="11"/>
        <v>14000.655737704918</v>
      </c>
      <c r="F102" s="341">
        <v>1</v>
      </c>
      <c r="G102" s="214"/>
      <c r="H102" s="57"/>
      <c r="I102" s="57"/>
      <c r="J102" s="57"/>
      <c r="K102" s="49">
        <f>D102*I10</f>
        <v>23292</v>
      </c>
      <c r="L102" s="49"/>
      <c r="M102" s="49"/>
      <c r="N102" s="43">
        <f>D102-K102-M102</f>
        <v>54348</v>
      </c>
      <c r="O102" s="43"/>
      <c r="P102" s="43"/>
      <c r="Q102" s="43"/>
      <c r="R102" s="79"/>
      <c r="S102" s="151"/>
      <c r="T102" s="43"/>
      <c r="U102" s="43"/>
      <c r="V102" s="43"/>
      <c r="W102" s="43"/>
      <c r="X102" s="43"/>
      <c r="Y102" s="43"/>
      <c r="Z102" s="43"/>
      <c r="AA102" s="43"/>
      <c r="AB102" s="43"/>
      <c r="AC102" s="43"/>
      <c r="AD102" s="86"/>
      <c r="AE102" s="78"/>
      <c r="AF102" s="43"/>
      <c r="AG102" s="43"/>
      <c r="AH102" s="43"/>
      <c r="AI102" s="43"/>
      <c r="AJ102" s="43"/>
      <c r="AK102" s="43"/>
      <c r="AL102" s="43"/>
      <c r="AM102" s="43"/>
      <c r="AN102" s="43"/>
      <c r="AO102" s="43"/>
      <c r="AP102" s="79"/>
      <c r="AQ102" s="151"/>
      <c r="AR102" s="43"/>
      <c r="AS102" s="43"/>
      <c r="AT102" s="43"/>
      <c r="AU102" s="43"/>
      <c r="AV102" s="43"/>
      <c r="AW102" s="43"/>
      <c r="AX102" s="44"/>
      <c r="AY102" s="43"/>
      <c r="AZ102" s="43"/>
      <c r="BA102" s="43"/>
      <c r="BB102" s="79"/>
      <c r="BC102" s="138"/>
      <c r="BE102" s="191">
        <f t="shared" si="12"/>
        <v>77640</v>
      </c>
      <c r="BF102" s="201">
        <f t="shared" si="13"/>
        <v>0</v>
      </c>
    </row>
    <row r="103" spans="1:58" s="8" customFormat="1" ht="63.75" outlineLevel="1">
      <c r="A103" s="125" t="s">
        <v>108</v>
      </c>
      <c r="B103" s="12">
        <v>1.4</v>
      </c>
      <c r="C103" s="219" t="s">
        <v>168</v>
      </c>
      <c r="D103" s="162">
        <v>291685</v>
      </c>
      <c r="E103" s="314">
        <f t="shared" si="11"/>
        <v>52598.934426229505</v>
      </c>
      <c r="F103" s="341">
        <v>1</v>
      </c>
      <c r="G103" s="78"/>
      <c r="H103" s="43"/>
      <c r="I103" s="43"/>
      <c r="J103" s="57"/>
      <c r="K103" s="57"/>
      <c r="L103" s="57"/>
      <c r="M103" s="391">
        <f>D103*0.2</f>
        <v>58337</v>
      </c>
      <c r="N103" s="49"/>
      <c r="O103" s="49"/>
      <c r="P103" s="49"/>
      <c r="Q103" s="49"/>
      <c r="R103" s="50"/>
      <c r="S103" s="146"/>
      <c r="T103" s="49"/>
      <c r="U103" s="49"/>
      <c r="V103" s="49"/>
      <c r="W103" s="49"/>
      <c r="X103" s="49"/>
      <c r="Y103" s="49"/>
      <c r="Z103" s="49"/>
      <c r="AA103" s="49">
        <f>D103*0.4</f>
        <v>116674</v>
      </c>
      <c r="AB103" s="49"/>
      <c r="AC103" s="49"/>
      <c r="AD103" s="256"/>
      <c r="AE103" s="51"/>
      <c r="AF103" s="49"/>
      <c r="AG103" s="49"/>
      <c r="AH103" s="49"/>
      <c r="AI103" s="49"/>
      <c r="AJ103" s="49"/>
      <c r="AK103" s="49"/>
      <c r="AL103" s="49"/>
      <c r="AM103" s="49"/>
      <c r="AN103" s="43">
        <f>D103-M103-AA103</f>
        <v>116674</v>
      </c>
      <c r="AO103" s="43"/>
      <c r="AP103" s="79"/>
      <c r="AQ103" s="151"/>
      <c r="AR103" s="43"/>
      <c r="AS103" s="43"/>
      <c r="AT103" s="43"/>
      <c r="AU103" s="43"/>
      <c r="AV103" s="43"/>
      <c r="AW103" s="43"/>
      <c r="AX103" s="44"/>
      <c r="AY103" s="43"/>
      <c r="AZ103" s="43"/>
      <c r="BA103" s="43"/>
      <c r="BB103" s="79"/>
      <c r="BC103" s="138"/>
      <c r="BD103" s="187"/>
      <c r="BE103" s="191">
        <f t="shared" si="12"/>
        <v>291685</v>
      </c>
      <c r="BF103" s="201">
        <f t="shared" si="13"/>
        <v>0</v>
      </c>
    </row>
    <row r="104" spans="1:58" s="4" customFormat="1" ht="13.5" outlineLevel="1">
      <c r="A104" s="123"/>
      <c r="B104" s="12">
        <v>1.4</v>
      </c>
      <c r="C104" s="217" t="s">
        <v>167</v>
      </c>
      <c r="D104" s="156">
        <v>4368</v>
      </c>
      <c r="E104" s="314">
        <f t="shared" si="11"/>
        <v>787.672131147541</v>
      </c>
      <c r="F104" s="341">
        <v>1</v>
      </c>
      <c r="G104" s="358"/>
      <c r="H104" s="109"/>
      <c r="I104" s="109"/>
      <c r="J104" s="57"/>
      <c r="K104" s="57"/>
      <c r="L104" s="57"/>
      <c r="M104" s="391">
        <f>$D$104/27</f>
        <v>161.77777777777777</v>
      </c>
      <c r="N104" s="49">
        <f aca="true" t="shared" si="14" ref="N104:AM104">$D$104/27</f>
        <v>161.77777777777777</v>
      </c>
      <c r="O104" s="49">
        <f t="shared" si="14"/>
        <v>161.77777777777777</v>
      </c>
      <c r="P104" s="49">
        <f t="shared" si="14"/>
        <v>161.77777777777777</v>
      </c>
      <c r="Q104" s="49">
        <f t="shared" si="14"/>
        <v>161.77777777777777</v>
      </c>
      <c r="R104" s="50">
        <f t="shared" si="14"/>
        <v>161.77777777777777</v>
      </c>
      <c r="S104" s="146">
        <f t="shared" si="14"/>
        <v>161.77777777777777</v>
      </c>
      <c r="T104" s="49">
        <f t="shared" si="14"/>
        <v>161.77777777777777</v>
      </c>
      <c r="U104" s="49">
        <f t="shared" si="14"/>
        <v>161.77777777777777</v>
      </c>
      <c r="V104" s="49">
        <f t="shared" si="14"/>
        <v>161.77777777777777</v>
      </c>
      <c r="W104" s="49">
        <f t="shared" si="14"/>
        <v>161.77777777777777</v>
      </c>
      <c r="X104" s="49">
        <f t="shared" si="14"/>
        <v>161.77777777777777</v>
      </c>
      <c r="Y104" s="49">
        <f t="shared" si="14"/>
        <v>161.77777777777777</v>
      </c>
      <c r="Z104" s="49">
        <f t="shared" si="14"/>
        <v>161.77777777777777</v>
      </c>
      <c r="AA104" s="49">
        <f t="shared" si="14"/>
        <v>161.77777777777777</v>
      </c>
      <c r="AB104" s="49">
        <f t="shared" si="14"/>
        <v>161.77777777777777</v>
      </c>
      <c r="AC104" s="49">
        <f t="shared" si="14"/>
        <v>161.77777777777777</v>
      </c>
      <c r="AD104" s="256">
        <f t="shared" si="14"/>
        <v>161.77777777777777</v>
      </c>
      <c r="AE104" s="51">
        <f t="shared" si="14"/>
        <v>161.77777777777777</v>
      </c>
      <c r="AF104" s="49">
        <f t="shared" si="14"/>
        <v>161.77777777777777</v>
      </c>
      <c r="AG104" s="49">
        <f t="shared" si="14"/>
        <v>161.77777777777777</v>
      </c>
      <c r="AH104" s="49">
        <f t="shared" si="14"/>
        <v>161.77777777777777</v>
      </c>
      <c r="AI104" s="49">
        <f t="shared" si="14"/>
        <v>161.77777777777777</v>
      </c>
      <c r="AJ104" s="49">
        <f t="shared" si="14"/>
        <v>161.77777777777777</v>
      </c>
      <c r="AK104" s="49">
        <f t="shared" si="14"/>
        <v>161.77777777777777</v>
      </c>
      <c r="AL104" s="49">
        <f t="shared" si="14"/>
        <v>161.77777777777777</v>
      </c>
      <c r="AM104" s="49">
        <f t="shared" si="14"/>
        <v>161.77777777777777</v>
      </c>
      <c r="AN104" s="43"/>
      <c r="AO104" s="81"/>
      <c r="AP104" s="82"/>
      <c r="AQ104" s="108"/>
      <c r="AR104" s="81"/>
      <c r="AS104" s="81"/>
      <c r="AT104" s="81"/>
      <c r="AU104" s="81"/>
      <c r="AV104" s="81"/>
      <c r="AW104" s="81"/>
      <c r="AX104" s="75"/>
      <c r="AY104" s="81"/>
      <c r="AZ104" s="81"/>
      <c r="BA104" s="81"/>
      <c r="BB104" s="82"/>
      <c r="BC104" s="138"/>
      <c r="BD104" s="193"/>
      <c r="BE104" s="191">
        <f t="shared" si="12"/>
        <v>4368</v>
      </c>
      <c r="BF104" s="201">
        <f t="shared" si="13"/>
        <v>0</v>
      </c>
    </row>
    <row r="105" spans="1:58" s="4" customFormat="1" ht="25.5" outlineLevel="1">
      <c r="A105" s="123" t="s">
        <v>117</v>
      </c>
      <c r="B105" s="12">
        <v>2.2</v>
      </c>
      <c r="C105" s="221" t="s">
        <v>56</v>
      </c>
      <c r="D105" s="162">
        <v>122000</v>
      </c>
      <c r="E105" s="314">
        <f t="shared" si="11"/>
        <v>22000</v>
      </c>
      <c r="F105" s="341">
        <v>1</v>
      </c>
      <c r="G105" s="358"/>
      <c r="H105" s="109"/>
      <c r="I105" s="109"/>
      <c r="J105" s="109"/>
      <c r="K105" s="109"/>
      <c r="L105" s="109"/>
      <c r="M105" s="109"/>
      <c r="N105" s="109"/>
      <c r="O105" s="81"/>
      <c r="P105" s="81"/>
      <c r="Q105" s="97"/>
      <c r="R105" s="212"/>
      <c r="S105" s="208"/>
      <c r="T105" s="66">
        <f>D105*I10</f>
        <v>36600</v>
      </c>
      <c r="U105" s="66"/>
      <c r="V105" s="66"/>
      <c r="W105" s="81">
        <f>D105-T105</f>
        <v>85400</v>
      </c>
      <c r="X105" s="81"/>
      <c r="Y105" s="81"/>
      <c r="Z105" s="81"/>
      <c r="AA105" s="81"/>
      <c r="AB105" s="81"/>
      <c r="AC105" s="81"/>
      <c r="AD105" s="134"/>
      <c r="AE105" s="80"/>
      <c r="AF105" s="81"/>
      <c r="AG105" s="81"/>
      <c r="AH105" s="81"/>
      <c r="AI105" s="81"/>
      <c r="AJ105" s="81"/>
      <c r="AK105" s="81"/>
      <c r="AL105" s="81"/>
      <c r="AM105" s="81"/>
      <c r="AN105" s="81"/>
      <c r="AO105" s="81"/>
      <c r="AP105" s="82"/>
      <c r="AQ105" s="108"/>
      <c r="AR105" s="81"/>
      <c r="AS105" s="81"/>
      <c r="AT105" s="81"/>
      <c r="AU105" s="81"/>
      <c r="AV105" s="81"/>
      <c r="AW105" s="81"/>
      <c r="AX105" s="75"/>
      <c r="AY105" s="81"/>
      <c r="AZ105" s="81"/>
      <c r="BA105" s="81"/>
      <c r="BB105" s="82"/>
      <c r="BC105" s="138"/>
      <c r="BD105" s="193"/>
      <c r="BE105" s="191">
        <f t="shared" si="12"/>
        <v>122000</v>
      </c>
      <c r="BF105" s="201">
        <f t="shared" si="13"/>
        <v>0</v>
      </c>
    </row>
    <row r="106" spans="1:58" s="4" customFormat="1" ht="36" outlineLevel="1">
      <c r="A106" s="123" t="s">
        <v>117</v>
      </c>
      <c r="B106" s="12">
        <v>2.2</v>
      </c>
      <c r="C106" s="217" t="s">
        <v>57</v>
      </c>
      <c r="D106" s="156">
        <v>42701</v>
      </c>
      <c r="E106" s="314">
        <f t="shared" si="11"/>
        <v>7700.180327868852</v>
      </c>
      <c r="F106" s="341">
        <v>1</v>
      </c>
      <c r="G106" s="358"/>
      <c r="H106" s="97"/>
      <c r="I106" s="97"/>
      <c r="J106" s="97"/>
      <c r="K106" s="66">
        <f aca="true" t="shared" si="15" ref="K106:K111">D106*$I$10</f>
        <v>12810.3</v>
      </c>
      <c r="L106" s="66"/>
      <c r="M106" s="66"/>
      <c r="N106" s="81">
        <f aca="true" t="shared" si="16" ref="N106:N111">D106-K106</f>
        <v>29890.7</v>
      </c>
      <c r="O106" s="81"/>
      <c r="P106" s="81"/>
      <c r="Q106" s="81"/>
      <c r="R106" s="82"/>
      <c r="S106" s="108"/>
      <c r="T106" s="81"/>
      <c r="U106" s="81"/>
      <c r="V106" s="81"/>
      <c r="W106" s="81"/>
      <c r="X106" s="81"/>
      <c r="Y106" s="81"/>
      <c r="Z106" s="81"/>
      <c r="AA106" s="81"/>
      <c r="AB106" s="81"/>
      <c r="AC106" s="81"/>
      <c r="AD106" s="134"/>
      <c r="AE106" s="80"/>
      <c r="AF106" s="81"/>
      <c r="AG106" s="81"/>
      <c r="AH106" s="81"/>
      <c r="AI106" s="81"/>
      <c r="AJ106" s="81"/>
      <c r="AK106" s="81"/>
      <c r="AL106" s="81"/>
      <c r="AM106" s="81"/>
      <c r="AN106" s="81"/>
      <c r="AO106" s="81"/>
      <c r="AP106" s="82"/>
      <c r="AQ106" s="108"/>
      <c r="AR106" s="81"/>
      <c r="AS106" s="81"/>
      <c r="AT106" s="81"/>
      <c r="AU106" s="81"/>
      <c r="AV106" s="81"/>
      <c r="AW106" s="81"/>
      <c r="AX106" s="75"/>
      <c r="AY106" s="81"/>
      <c r="AZ106" s="81"/>
      <c r="BA106" s="81"/>
      <c r="BB106" s="82"/>
      <c r="BC106" s="138"/>
      <c r="BD106" s="193"/>
      <c r="BE106" s="191">
        <f t="shared" si="12"/>
        <v>42701</v>
      </c>
      <c r="BF106" s="201">
        <f t="shared" si="13"/>
        <v>0</v>
      </c>
    </row>
    <row r="107" spans="1:58" s="4" customFormat="1" ht="25.5" outlineLevel="1">
      <c r="A107" s="123" t="s">
        <v>117</v>
      </c>
      <c r="B107" s="12">
        <v>2.2</v>
      </c>
      <c r="C107" s="217" t="s">
        <v>58</v>
      </c>
      <c r="D107" s="156">
        <v>61000</v>
      </c>
      <c r="E107" s="314">
        <f t="shared" si="11"/>
        <v>11000</v>
      </c>
      <c r="F107" s="341">
        <v>1</v>
      </c>
      <c r="G107" s="358"/>
      <c r="H107" s="97"/>
      <c r="I107" s="97"/>
      <c r="J107" s="97"/>
      <c r="K107" s="66">
        <f t="shared" si="15"/>
        <v>18300</v>
      </c>
      <c r="L107" s="66"/>
      <c r="M107" s="66"/>
      <c r="N107" s="81">
        <f t="shared" si="16"/>
        <v>42700</v>
      </c>
      <c r="O107" s="81"/>
      <c r="P107" s="81"/>
      <c r="Q107" s="81"/>
      <c r="R107" s="82"/>
      <c r="S107" s="108"/>
      <c r="T107" s="81"/>
      <c r="U107" s="81"/>
      <c r="V107" s="81"/>
      <c r="W107" s="81"/>
      <c r="X107" s="81"/>
      <c r="Y107" s="81"/>
      <c r="Z107" s="81"/>
      <c r="AA107" s="81"/>
      <c r="AB107" s="81"/>
      <c r="AC107" s="81"/>
      <c r="AD107" s="134"/>
      <c r="AE107" s="80"/>
      <c r="AF107" s="81"/>
      <c r="AG107" s="81"/>
      <c r="AH107" s="81"/>
      <c r="AI107" s="81"/>
      <c r="AJ107" s="81"/>
      <c r="AK107" s="81"/>
      <c r="AL107" s="81"/>
      <c r="AM107" s="81"/>
      <c r="AN107" s="81"/>
      <c r="AO107" s="81"/>
      <c r="AP107" s="82"/>
      <c r="AQ107" s="108"/>
      <c r="AR107" s="81"/>
      <c r="AS107" s="81"/>
      <c r="AT107" s="81"/>
      <c r="AU107" s="81"/>
      <c r="AV107" s="81"/>
      <c r="AW107" s="81"/>
      <c r="AX107" s="75"/>
      <c r="AY107" s="81"/>
      <c r="AZ107" s="81"/>
      <c r="BA107" s="81"/>
      <c r="BB107" s="82"/>
      <c r="BC107" s="138"/>
      <c r="BD107" s="193"/>
      <c r="BE107" s="191">
        <f t="shared" si="12"/>
        <v>61000</v>
      </c>
      <c r="BF107" s="201">
        <f t="shared" si="13"/>
        <v>0</v>
      </c>
    </row>
    <row r="108" spans="1:58" s="4" customFormat="1" ht="36" outlineLevel="1">
      <c r="A108" s="123" t="s">
        <v>117</v>
      </c>
      <c r="B108" s="12">
        <v>2.2</v>
      </c>
      <c r="C108" s="217" t="s">
        <v>59</v>
      </c>
      <c r="D108" s="156">
        <v>48800</v>
      </c>
      <c r="E108" s="314">
        <f t="shared" si="11"/>
        <v>8800</v>
      </c>
      <c r="F108" s="341">
        <v>1</v>
      </c>
      <c r="G108" s="358"/>
      <c r="H108" s="97"/>
      <c r="I108" s="97"/>
      <c r="J108" s="97"/>
      <c r="K108" s="66">
        <f t="shared" si="15"/>
        <v>14640</v>
      </c>
      <c r="L108" s="66"/>
      <c r="M108" s="66"/>
      <c r="N108" s="81">
        <f t="shared" si="16"/>
        <v>34160</v>
      </c>
      <c r="O108" s="81"/>
      <c r="P108" s="81"/>
      <c r="Q108" s="81"/>
      <c r="R108" s="82"/>
      <c r="S108" s="108"/>
      <c r="T108" s="81"/>
      <c r="U108" s="81"/>
      <c r="V108" s="81"/>
      <c r="W108" s="81"/>
      <c r="X108" s="81"/>
      <c r="Y108" s="81"/>
      <c r="Z108" s="81"/>
      <c r="AA108" s="81"/>
      <c r="AB108" s="81"/>
      <c r="AC108" s="81"/>
      <c r="AD108" s="134"/>
      <c r="AE108" s="80"/>
      <c r="AF108" s="81"/>
      <c r="AG108" s="81"/>
      <c r="AH108" s="81"/>
      <c r="AI108" s="81"/>
      <c r="AJ108" s="81"/>
      <c r="AK108" s="81"/>
      <c r="AL108" s="81"/>
      <c r="AM108" s="81"/>
      <c r="AN108" s="81"/>
      <c r="AO108" s="81"/>
      <c r="AP108" s="82"/>
      <c r="AQ108" s="108"/>
      <c r="AR108" s="81"/>
      <c r="AS108" s="81"/>
      <c r="AT108" s="81"/>
      <c r="AU108" s="81"/>
      <c r="AV108" s="81"/>
      <c r="AW108" s="81"/>
      <c r="AX108" s="75"/>
      <c r="AY108" s="81"/>
      <c r="AZ108" s="81"/>
      <c r="BA108" s="81"/>
      <c r="BB108" s="82"/>
      <c r="BC108" s="138"/>
      <c r="BD108" s="193"/>
      <c r="BE108" s="191">
        <f t="shared" si="12"/>
        <v>48800</v>
      </c>
      <c r="BF108" s="201">
        <f t="shared" si="13"/>
        <v>0</v>
      </c>
    </row>
    <row r="109" spans="1:58" s="4" customFormat="1" ht="25.5" outlineLevel="1">
      <c r="A109" s="123" t="s">
        <v>117</v>
      </c>
      <c r="B109" s="12">
        <v>2.2</v>
      </c>
      <c r="C109" s="217" t="s">
        <v>60</v>
      </c>
      <c r="D109" s="156">
        <v>54901</v>
      </c>
      <c r="E109" s="314">
        <f t="shared" si="11"/>
        <v>9900.180327868853</v>
      </c>
      <c r="F109" s="341">
        <v>1</v>
      </c>
      <c r="G109" s="358"/>
      <c r="H109" s="97"/>
      <c r="I109" s="97"/>
      <c r="J109" s="97"/>
      <c r="K109" s="66">
        <f t="shared" si="15"/>
        <v>16470.3</v>
      </c>
      <c r="L109" s="66"/>
      <c r="M109" s="66"/>
      <c r="N109" s="81">
        <f t="shared" si="16"/>
        <v>38430.7</v>
      </c>
      <c r="O109" s="81"/>
      <c r="P109" s="81"/>
      <c r="Q109" s="81"/>
      <c r="R109" s="82"/>
      <c r="S109" s="108"/>
      <c r="T109" s="81"/>
      <c r="U109" s="81"/>
      <c r="V109" s="81"/>
      <c r="W109" s="81"/>
      <c r="X109" s="81"/>
      <c r="Y109" s="81"/>
      <c r="Z109" s="81"/>
      <c r="AA109" s="81"/>
      <c r="AB109" s="81"/>
      <c r="AC109" s="81"/>
      <c r="AD109" s="134"/>
      <c r="AE109" s="80"/>
      <c r="AF109" s="81"/>
      <c r="AG109" s="81"/>
      <c r="AH109" s="81"/>
      <c r="AI109" s="81"/>
      <c r="AJ109" s="81"/>
      <c r="AK109" s="81"/>
      <c r="AL109" s="81"/>
      <c r="AM109" s="81"/>
      <c r="AN109" s="81"/>
      <c r="AO109" s="81"/>
      <c r="AP109" s="82"/>
      <c r="AQ109" s="108"/>
      <c r="AR109" s="81"/>
      <c r="AS109" s="81"/>
      <c r="AT109" s="81"/>
      <c r="AU109" s="81"/>
      <c r="AV109" s="81"/>
      <c r="AW109" s="81"/>
      <c r="AX109" s="75"/>
      <c r="AY109" s="81"/>
      <c r="AZ109" s="81"/>
      <c r="BA109" s="81"/>
      <c r="BB109" s="82"/>
      <c r="BC109" s="138"/>
      <c r="BD109" s="193"/>
      <c r="BE109" s="191">
        <f t="shared" si="12"/>
        <v>54901</v>
      </c>
      <c r="BF109" s="201">
        <f t="shared" si="13"/>
        <v>0</v>
      </c>
    </row>
    <row r="110" spans="1:58" s="4" customFormat="1" ht="36" outlineLevel="1">
      <c r="A110" s="123" t="s">
        <v>117</v>
      </c>
      <c r="B110" s="12">
        <v>2.2</v>
      </c>
      <c r="C110" s="217" t="s">
        <v>61</v>
      </c>
      <c r="D110" s="156">
        <v>30501</v>
      </c>
      <c r="E110" s="314">
        <f t="shared" si="11"/>
        <v>5500.180327868852</v>
      </c>
      <c r="F110" s="341">
        <v>1</v>
      </c>
      <c r="G110" s="358"/>
      <c r="H110" s="97"/>
      <c r="I110" s="97"/>
      <c r="J110" s="97"/>
      <c r="K110" s="66">
        <f t="shared" si="15"/>
        <v>9150.3</v>
      </c>
      <c r="L110" s="66"/>
      <c r="M110" s="66"/>
      <c r="N110" s="81">
        <f t="shared" si="16"/>
        <v>21350.7</v>
      </c>
      <c r="O110" s="81"/>
      <c r="P110" s="81"/>
      <c r="Q110" s="81"/>
      <c r="R110" s="82"/>
      <c r="S110" s="108"/>
      <c r="T110" s="81"/>
      <c r="U110" s="81"/>
      <c r="V110" s="81"/>
      <c r="W110" s="81"/>
      <c r="X110" s="81"/>
      <c r="Y110" s="81"/>
      <c r="Z110" s="81"/>
      <c r="AA110" s="81"/>
      <c r="AB110" s="81"/>
      <c r="AC110" s="81"/>
      <c r="AD110" s="134"/>
      <c r="AE110" s="80"/>
      <c r="AF110" s="81"/>
      <c r="AG110" s="81"/>
      <c r="AH110" s="81"/>
      <c r="AI110" s="81"/>
      <c r="AJ110" s="81"/>
      <c r="AK110" s="81"/>
      <c r="AL110" s="81"/>
      <c r="AM110" s="81"/>
      <c r="AN110" s="81"/>
      <c r="AO110" s="81"/>
      <c r="AP110" s="82"/>
      <c r="AQ110" s="108"/>
      <c r="AR110" s="81"/>
      <c r="AS110" s="81"/>
      <c r="AT110" s="81"/>
      <c r="AU110" s="81"/>
      <c r="AV110" s="81"/>
      <c r="AW110" s="81"/>
      <c r="AX110" s="75"/>
      <c r="AY110" s="81"/>
      <c r="AZ110" s="81"/>
      <c r="BA110" s="81"/>
      <c r="BB110" s="82"/>
      <c r="BC110" s="138"/>
      <c r="BD110" s="193"/>
      <c r="BE110" s="191">
        <f t="shared" si="12"/>
        <v>30501</v>
      </c>
      <c r="BF110" s="201">
        <f t="shared" si="13"/>
        <v>0</v>
      </c>
    </row>
    <row r="111" spans="1:58" s="4" customFormat="1" ht="36" outlineLevel="1">
      <c r="A111" s="123" t="s">
        <v>117</v>
      </c>
      <c r="B111" s="12">
        <v>2.2</v>
      </c>
      <c r="C111" s="216" t="s">
        <v>12</v>
      </c>
      <c r="D111" s="156">
        <v>67101</v>
      </c>
      <c r="E111" s="314">
        <f t="shared" si="11"/>
        <v>12100.180327868853</v>
      </c>
      <c r="F111" s="341">
        <v>1</v>
      </c>
      <c r="G111" s="358"/>
      <c r="H111" s="97"/>
      <c r="I111" s="97"/>
      <c r="J111" s="97"/>
      <c r="K111" s="66">
        <f t="shared" si="15"/>
        <v>20130.3</v>
      </c>
      <c r="L111" s="66"/>
      <c r="M111" s="66"/>
      <c r="N111" s="81">
        <f t="shared" si="16"/>
        <v>46970.7</v>
      </c>
      <c r="O111" s="81"/>
      <c r="P111" s="81"/>
      <c r="Q111" s="81"/>
      <c r="R111" s="82"/>
      <c r="S111" s="108"/>
      <c r="T111" s="81"/>
      <c r="U111" s="81"/>
      <c r="V111" s="81"/>
      <c r="W111" s="81"/>
      <c r="X111" s="81"/>
      <c r="Y111" s="81"/>
      <c r="Z111" s="81"/>
      <c r="AA111" s="81"/>
      <c r="AB111" s="81"/>
      <c r="AC111" s="81"/>
      <c r="AD111" s="134"/>
      <c r="AE111" s="80"/>
      <c r="AF111" s="81"/>
      <c r="AG111" s="81"/>
      <c r="AH111" s="81"/>
      <c r="AI111" s="81"/>
      <c r="AJ111" s="81"/>
      <c r="AK111" s="81"/>
      <c r="AL111" s="81"/>
      <c r="AM111" s="81"/>
      <c r="AN111" s="81"/>
      <c r="AO111" s="81"/>
      <c r="AP111" s="82"/>
      <c r="AQ111" s="108"/>
      <c r="AR111" s="81"/>
      <c r="AS111" s="81"/>
      <c r="AT111" s="81"/>
      <c r="AU111" s="81"/>
      <c r="AV111" s="81"/>
      <c r="AW111" s="81"/>
      <c r="AX111" s="75"/>
      <c r="AY111" s="81"/>
      <c r="AZ111" s="81"/>
      <c r="BA111" s="81"/>
      <c r="BB111" s="82"/>
      <c r="BC111" s="138"/>
      <c r="BD111" s="193"/>
      <c r="BE111" s="191">
        <f t="shared" si="12"/>
        <v>67101</v>
      </c>
      <c r="BF111" s="201">
        <f t="shared" si="13"/>
        <v>0</v>
      </c>
    </row>
    <row r="112" spans="1:58" s="4" customFormat="1" ht="25.5" outlineLevel="1">
      <c r="A112" s="123" t="s">
        <v>118</v>
      </c>
      <c r="B112" s="12">
        <v>2.2</v>
      </c>
      <c r="C112" s="217" t="s">
        <v>46</v>
      </c>
      <c r="D112" s="156">
        <v>35000</v>
      </c>
      <c r="E112" s="314">
        <f t="shared" si="11"/>
        <v>6311.475409836065</v>
      </c>
      <c r="F112" s="341">
        <v>1</v>
      </c>
      <c r="G112" s="358"/>
      <c r="H112" s="109"/>
      <c r="I112" s="109"/>
      <c r="J112" s="109"/>
      <c r="K112" s="109"/>
      <c r="L112" s="109"/>
      <c r="M112" s="109"/>
      <c r="N112" s="109"/>
      <c r="O112" s="81"/>
      <c r="P112" s="81"/>
      <c r="Q112" s="81"/>
      <c r="R112" s="82"/>
      <c r="S112" s="108"/>
      <c r="T112" s="81"/>
      <c r="U112" s="81"/>
      <c r="V112" s="81"/>
      <c r="W112" s="81"/>
      <c r="X112" s="81"/>
      <c r="Y112" s="81"/>
      <c r="Z112" s="81"/>
      <c r="AA112" s="81"/>
      <c r="AB112" s="81"/>
      <c r="AC112" s="81"/>
      <c r="AD112" s="134"/>
      <c r="AE112" s="80"/>
      <c r="AF112" s="81"/>
      <c r="AG112" s="81"/>
      <c r="AH112" s="81"/>
      <c r="AI112" s="81"/>
      <c r="AJ112" s="81"/>
      <c r="AK112" s="97"/>
      <c r="AL112" s="97"/>
      <c r="AM112" s="97"/>
      <c r="AN112" s="66">
        <f>D112*I10</f>
        <v>10500</v>
      </c>
      <c r="AO112" s="66"/>
      <c r="AP112" s="67"/>
      <c r="AQ112" s="108">
        <f>D112-AN112</f>
        <v>24500</v>
      </c>
      <c r="AR112" s="81"/>
      <c r="AS112" s="81"/>
      <c r="AT112" s="81"/>
      <c r="AU112" s="81"/>
      <c r="AV112" s="81"/>
      <c r="AW112" s="81"/>
      <c r="AX112" s="75"/>
      <c r="AY112" s="81"/>
      <c r="AZ112" s="81"/>
      <c r="BA112" s="81"/>
      <c r="BB112" s="82"/>
      <c r="BC112" s="138"/>
      <c r="BD112" s="193"/>
      <c r="BE112" s="191">
        <f t="shared" si="12"/>
        <v>35000</v>
      </c>
      <c r="BF112" s="201">
        <f t="shared" si="13"/>
        <v>0</v>
      </c>
    </row>
    <row r="113" spans="1:58" s="4" customFormat="1" ht="25.5" outlineLevel="1">
      <c r="A113" s="123" t="s">
        <v>118</v>
      </c>
      <c r="B113" s="12">
        <v>2.2</v>
      </c>
      <c r="C113" s="221" t="s">
        <v>47</v>
      </c>
      <c r="D113" s="162">
        <v>347370</v>
      </c>
      <c r="E113" s="314">
        <f t="shared" si="11"/>
        <v>62640.49180327869</v>
      </c>
      <c r="F113" s="341">
        <v>1</v>
      </c>
      <c r="G113" s="358"/>
      <c r="H113" s="97"/>
      <c r="I113" s="97"/>
      <c r="J113" s="97"/>
      <c r="K113" s="393">
        <v>192311</v>
      </c>
      <c r="L113" s="66"/>
      <c r="M113" s="66"/>
      <c r="N113" s="81">
        <f>D113-K113</f>
        <v>155059</v>
      </c>
      <c r="O113" s="81"/>
      <c r="P113" s="81"/>
      <c r="Q113" s="81"/>
      <c r="R113" s="82"/>
      <c r="S113" s="108"/>
      <c r="T113" s="81"/>
      <c r="U113" s="81"/>
      <c r="V113" s="81"/>
      <c r="W113" s="81"/>
      <c r="X113" s="81"/>
      <c r="Y113" s="81"/>
      <c r="Z113" s="81"/>
      <c r="AA113" s="81"/>
      <c r="AB113" s="81"/>
      <c r="AC113" s="81"/>
      <c r="AD113" s="134"/>
      <c r="AE113" s="80"/>
      <c r="AF113" s="81"/>
      <c r="AG113" s="81"/>
      <c r="AH113" s="81"/>
      <c r="AI113" s="81"/>
      <c r="AJ113" s="81"/>
      <c r="AK113" s="81"/>
      <c r="AL113" s="81"/>
      <c r="AM113" s="81"/>
      <c r="AN113" s="81"/>
      <c r="AO113" s="81"/>
      <c r="AP113" s="82"/>
      <c r="AQ113" s="108"/>
      <c r="AR113" s="81"/>
      <c r="AS113" s="81"/>
      <c r="AT113" s="81"/>
      <c r="AU113" s="81"/>
      <c r="AV113" s="81"/>
      <c r="AW113" s="81"/>
      <c r="AX113" s="75"/>
      <c r="AY113" s="81"/>
      <c r="AZ113" s="81"/>
      <c r="BA113" s="81"/>
      <c r="BB113" s="82"/>
      <c r="BC113" s="138"/>
      <c r="BD113" s="193"/>
      <c r="BE113" s="191">
        <f t="shared" si="12"/>
        <v>347370</v>
      </c>
      <c r="BF113" s="201">
        <f t="shared" si="13"/>
        <v>0</v>
      </c>
    </row>
    <row r="114" spans="1:58" s="4" customFormat="1" ht="36" outlineLevel="1">
      <c r="A114" s="123" t="s">
        <v>118</v>
      </c>
      <c r="B114" s="12">
        <v>2.2</v>
      </c>
      <c r="C114" s="221" t="s">
        <v>51</v>
      </c>
      <c r="D114" s="162">
        <v>100000</v>
      </c>
      <c r="E114" s="314">
        <f t="shared" si="11"/>
        <v>18032.786885245903</v>
      </c>
      <c r="F114" s="341">
        <v>1</v>
      </c>
      <c r="G114" s="80"/>
      <c r="H114" s="81"/>
      <c r="I114" s="81"/>
      <c r="J114" s="81"/>
      <c r="K114" s="250"/>
      <c r="L114" s="81"/>
      <c r="M114" s="81"/>
      <c r="N114" s="81"/>
      <c r="O114" s="81"/>
      <c r="P114" s="81"/>
      <c r="Q114" s="81"/>
      <c r="R114" s="82"/>
      <c r="S114" s="108"/>
      <c r="T114" s="81"/>
      <c r="U114" s="81"/>
      <c r="V114" s="81"/>
      <c r="W114" s="81"/>
      <c r="X114" s="81"/>
      <c r="Y114" s="81"/>
      <c r="Z114" s="81"/>
      <c r="AA114" s="81"/>
      <c r="AB114" s="81"/>
      <c r="AC114" s="81"/>
      <c r="AD114" s="134"/>
      <c r="AE114" s="80"/>
      <c r="AF114" s="81"/>
      <c r="AG114" s="81"/>
      <c r="AH114" s="81"/>
      <c r="AI114" s="81"/>
      <c r="AJ114" s="81"/>
      <c r="AK114" s="97"/>
      <c r="AL114" s="97"/>
      <c r="AM114" s="97"/>
      <c r="AN114" s="66">
        <f>D114*I10</f>
        <v>30000</v>
      </c>
      <c r="AO114" s="66"/>
      <c r="AP114" s="67"/>
      <c r="AQ114" s="263">
        <f>D114-AN114</f>
        <v>70000</v>
      </c>
      <c r="AR114" s="81"/>
      <c r="AS114" s="81"/>
      <c r="AT114" s="81"/>
      <c r="AU114" s="81"/>
      <c r="AV114" s="81"/>
      <c r="AW114" s="81"/>
      <c r="AX114" s="75"/>
      <c r="AY114" s="81"/>
      <c r="AZ114" s="81"/>
      <c r="BA114" s="81"/>
      <c r="BB114" s="82"/>
      <c r="BC114" s="138"/>
      <c r="BD114" s="193"/>
      <c r="BE114" s="191">
        <f t="shared" si="12"/>
        <v>100000</v>
      </c>
      <c r="BF114" s="201">
        <f t="shared" si="13"/>
        <v>0</v>
      </c>
    </row>
    <row r="115" spans="1:58" s="4" customFormat="1" ht="25.5" outlineLevel="1">
      <c r="A115" s="123" t="s">
        <v>118</v>
      </c>
      <c r="B115" s="12">
        <v>2.2</v>
      </c>
      <c r="C115" s="217" t="s">
        <v>50</v>
      </c>
      <c r="D115" s="156">
        <v>13000</v>
      </c>
      <c r="E115" s="314">
        <f t="shared" si="11"/>
        <v>2344.2622950819673</v>
      </c>
      <c r="F115" s="341">
        <v>1</v>
      </c>
      <c r="G115" s="80"/>
      <c r="H115" s="81"/>
      <c r="I115" s="81"/>
      <c r="J115" s="81"/>
      <c r="K115" s="81"/>
      <c r="L115" s="81"/>
      <c r="M115" s="81"/>
      <c r="N115" s="81"/>
      <c r="O115" s="81"/>
      <c r="P115" s="81"/>
      <c r="Q115" s="81"/>
      <c r="R115" s="82"/>
      <c r="S115" s="108"/>
      <c r="T115" s="81"/>
      <c r="U115" s="81"/>
      <c r="V115" s="97"/>
      <c r="W115" s="97"/>
      <c r="X115" s="97"/>
      <c r="Y115" s="66">
        <f>D115*I10</f>
        <v>3900</v>
      </c>
      <c r="Z115" s="66"/>
      <c r="AA115" s="66"/>
      <c r="AB115" s="77">
        <f>D115-Y115</f>
        <v>9100</v>
      </c>
      <c r="AC115" s="81"/>
      <c r="AD115" s="134"/>
      <c r="AE115" s="80"/>
      <c r="AF115" s="81"/>
      <c r="AG115" s="81"/>
      <c r="AH115" s="81"/>
      <c r="AI115" s="81"/>
      <c r="AJ115" s="81"/>
      <c r="AK115" s="81"/>
      <c r="AL115" s="81"/>
      <c r="AM115" s="81"/>
      <c r="AN115" s="81"/>
      <c r="AO115" s="81"/>
      <c r="AP115" s="82"/>
      <c r="AQ115" s="108"/>
      <c r="AR115" s="81"/>
      <c r="AS115" s="81"/>
      <c r="AT115" s="81"/>
      <c r="AU115" s="81"/>
      <c r="AV115" s="81"/>
      <c r="AW115" s="81"/>
      <c r="AX115" s="75"/>
      <c r="AY115" s="81"/>
      <c r="AZ115" s="81"/>
      <c r="BA115" s="81"/>
      <c r="BB115" s="82"/>
      <c r="BC115" s="138"/>
      <c r="BD115" s="193"/>
      <c r="BE115" s="191">
        <f t="shared" si="12"/>
        <v>13000</v>
      </c>
      <c r="BF115" s="201">
        <f t="shared" si="13"/>
        <v>0</v>
      </c>
    </row>
    <row r="116" spans="1:58" s="4" customFormat="1" ht="36" outlineLevel="1">
      <c r="A116" s="123" t="s">
        <v>118</v>
      </c>
      <c r="B116" s="12">
        <v>2.2</v>
      </c>
      <c r="C116" s="221" t="s">
        <v>52</v>
      </c>
      <c r="D116" s="162">
        <v>120000</v>
      </c>
      <c r="E116" s="314">
        <f t="shared" si="11"/>
        <v>21639.344262295082</v>
      </c>
      <c r="F116" s="341">
        <v>1</v>
      </c>
      <c r="G116" s="80"/>
      <c r="H116" s="81"/>
      <c r="I116" s="81"/>
      <c r="J116" s="81"/>
      <c r="K116" s="81"/>
      <c r="L116" s="81"/>
      <c r="M116" s="81"/>
      <c r="N116" s="81"/>
      <c r="O116" s="81"/>
      <c r="P116" s="81"/>
      <c r="Q116" s="81"/>
      <c r="R116" s="82"/>
      <c r="S116" s="108"/>
      <c r="T116" s="81"/>
      <c r="U116" s="81"/>
      <c r="V116" s="81"/>
      <c r="W116" s="81"/>
      <c r="X116" s="81"/>
      <c r="Y116" s="81"/>
      <c r="Z116" s="81"/>
      <c r="AA116" s="81"/>
      <c r="AB116" s="81"/>
      <c r="AC116" s="81"/>
      <c r="AD116" s="134"/>
      <c r="AE116" s="80"/>
      <c r="AF116" s="81"/>
      <c r="AG116" s="81"/>
      <c r="AH116" s="81"/>
      <c r="AI116" s="81"/>
      <c r="AJ116" s="81"/>
      <c r="AK116" s="97"/>
      <c r="AL116" s="97"/>
      <c r="AM116" s="97"/>
      <c r="AN116" s="66">
        <f>D116*I10</f>
        <v>36000</v>
      </c>
      <c r="AO116" s="66"/>
      <c r="AP116" s="67"/>
      <c r="AQ116" s="263">
        <f>D116-AN116</f>
        <v>84000</v>
      </c>
      <c r="AR116" s="81"/>
      <c r="AS116" s="81"/>
      <c r="AT116" s="81"/>
      <c r="AU116" s="81"/>
      <c r="AV116" s="81"/>
      <c r="AW116" s="81"/>
      <c r="AX116" s="75"/>
      <c r="AY116" s="81"/>
      <c r="AZ116" s="81"/>
      <c r="BA116" s="81"/>
      <c r="BB116" s="82"/>
      <c r="BC116" s="138"/>
      <c r="BD116" s="193"/>
      <c r="BE116" s="191">
        <f t="shared" si="12"/>
        <v>120000</v>
      </c>
      <c r="BF116" s="201">
        <f t="shared" si="13"/>
        <v>0</v>
      </c>
    </row>
    <row r="117" spans="1:58" s="4" customFormat="1" ht="25.5" outlineLevel="1">
      <c r="A117" s="123" t="s">
        <v>118</v>
      </c>
      <c r="B117" s="12">
        <v>2.2</v>
      </c>
      <c r="C117" s="217" t="s">
        <v>49</v>
      </c>
      <c r="D117" s="156">
        <v>6200</v>
      </c>
      <c r="E117" s="314">
        <f t="shared" si="11"/>
        <v>1118.032786885246</v>
      </c>
      <c r="F117" s="341">
        <v>1</v>
      </c>
      <c r="G117" s="358"/>
      <c r="H117" s="109"/>
      <c r="I117" s="109"/>
      <c r="J117" s="109"/>
      <c r="K117" s="109"/>
      <c r="L117" s="109"/>
      <c r="M117" s="109"/>
      <c r="N117" s="109"/>
      <c r="O117" s="81"/>
      <c r="P117" s="81"/>
      <c r="Q117" s="81"/>
      <c r="R117" s="82"/>
      <c r="S117" s="108"/>
      <c r="T117" s="81"/>
      <c r="U117" s="81"/>
      <c r="V117" s="81"/>
      <c r="W117" s="81"/>
      <c r="X117" s="81"/>
      <c r="Y117" s="81"/>
      <c r="Z117" s="81"/>
      <c r="AA117" s="81"/>
      <c r="AB117" s="81"/>
      <c r="AC117" s="81"/>
      <c r="AD117" s="134"/>
      <c r="AE117" s="80"/>
      <c r="AF117" s="81"/>
      <c r="AG117" s="81"/>
      <c r="AH117" s="81"/>
      <c r="AI117" s="81"/>
      <c r="AJ117" s="81"/>
      <c r="AK117" s="97"/>
      <c r="AL117" s="97"/>
      <c r="AM117" s="97"/>
      <c r="AN117" s="66">
        <f>D117*I10</f>
        <v>1860</v>
      </c>
      <c r="AO117" s="66"/>
      <c r="AP117" s="67"/>
      <c r="AQ117" s="108">
        <f>D117-AN117</f>
        <v>4340</v>
      </c>
      <c r="AR117" s="81"/>
      <c r="AS117" s="81"/>
      <c r="AT117" s="81"/>
      <c r="AU117" s="81"/>
      <c r="AV117" s="81"/>
      <c r="AW117" s="81"/>
      <c r="AX117" s="75"/>
      <c r="AY117" s="81"/>
      <c r="AZ117" s="81"/>
      <c r="BA117" s="81"/>
      <c r="BB117" s="82"/>
      <c r="BC117" s="138"/>
      <c r="BD117" s="193"/>
      <c r="BE117" s="191">
        <f t="shared" si="12"/>
        <v>6200</v>
      </c>
      <c r="BF117" s="201">
        <f t="shared" si="13"/>
        <v>0</v>
      </c>
    </row>
    <row r="118" spans="1:58" s="2" customFormat="1" ht="25.5" outlineLevel="1">
      <c r="A118" s="123" t="s">
        <v>118</v>
      </c>
      <c r="B118" s="12">
        <v>2.2</v>
      </c>
      <c r="C118" s="222" t="s">
        <v>53</v>
      </c>
      <c r="D118" s="156">
        <v>68000</v>
      </c>
      <c r="E118" s="314">
        <f t="shared" si="11"/>
        <v>12262.295081967213</v>
      </c>
      <c r="F118" s="341">
        <v>1</v>
      </c>
      <c r="G118" s="73"/>
      <c r="H118" s="70"/>
      <c r="I118" s="70"/>
      <c r="J118" s="70"/>
      <c r="K118" s="70"/>
      <c r="L118" s="70"/>
      <c r="M118" s="70"/>
      <c r="N118" s="70"/>
      <c r="O118" s="70"/>
      <c r="P118" s="70"/>
      <c r="Q118" s="70"/>
      <c r="R118" s="74"/>
      <c r="S118" s="149"/>
      <c r="T118" s="70"/>
      <c r="U118" s="70"/>
      <c r="V118" s="70"/>
      <c r="W118" s="70"/>
      <c r="X118" s="70"/>
      <c r="Y118" s="70"/>
      <c r="Z118" s="70"/>
      <c r="AA118" s="70"/>
      <c r="AB118" s="70"/>
      <c r="AC118" s="70"/>
      <c r="AD118" s="120"/>
      <c r="AE118" s="73"/>
      <c r="AF118" s="70"/>
      <c r="AG118" s="70"/>
      <c r="AH118" s="81"/>
      <c r="AI118" s="81"/>
      <c r="AJ118" s="81"/>
      <c r="AK118" s="97"/>
      <c r="AL118" s="97"/>
      <c r="AM118" s="97"/>
      <c r="AN118" s="66">
        <f>D118*I10</f>
        <v>20400</v>
      </c>
      <c r="AO118" s="66"/>
      <c r="AP118" s="67"/>
      <c r="AQ118" s="249">
        <f>D118-AN118</f>
        <v>47600</v>
      </c>
      <c r="AR118" s="70"/>
      <c r="AS118" s="70"/>
      <c r="AT118" s="70"/>
      <c r="AU118" s="70"/>
      <c r="AV118" s="70"/>
      <c r="AW118" s="70"/>
      <c r="AX118" s="75"/>
      <c r="AY118" s="70"/>
      <c r="AZ118" s="70"/>
      <c r="BA118" s="70"/>
      <c r="BB118" s="74"/>
      <c r="BC118" s="200"/>
      <c r="BD118" s="193"/>
      <c r="BE118" s="191">
        <f t="shared" si="12"/>
        <v>68000</v>
      </c>
      <c r="BF118" s="201">
        <f t="shared" si="13"/>
        <v>0</v>
      </c>
    </row>
    <row r="119" spans="1:58" s="4" customFormat="1" ht="36" outlineLevel="1">
      <c r="A119" s="123" t="s">
        <v>118</v>
      </c>
      <c r="B119" s="12">
        <v>2.2</v>
      </c>
      <c r="C119" s="221" t="s">
        <v>54</v>
      </c>
      <c r="D119" s="162">
        <v>120000</v>
      </c>
      <c r="E119" s="314">
        <f t="shared" si="11"/>
        <v>21639.344262295082</v>
      </c>
      <c r="F119" s="341">
        <v>1</v>
      </c>
      <c r="G119" s="80"/>
      <c r="H119" s="81"/>
      <c r="I119" s="81"/>
      <c r="J119" s="81"/>
      <c r="K119" s="81"/>
      <c r="L119" s="81"/>
      <c r="M119" s="81"/>
      <c r="N119" s="81"/>
      <c r="O119" s="81"/>
      <c r="P119" s="81"/>
      <c r="Q119" s="81"/>
      <c r="R119" s="82"/>
      <c r="S119" s="108"/>
      <c r="T119" s="81"/>
      <c r="U119" s="81"/>
      <c r="V119" s="81"/>
      <c r="W119" s="81"/>
      <c r="X119" s="81"/>
      <c r="Y119" s="81"/>
      <c r="Z119" s="81"/>
      <c r="AA119" s="81"/>
      <c r="AB119" s="81"/>
      <c r="AC119" s="81"/>
      <c r="AD119" s="134"/>
      <c r="AE119" s="80"/>
      <c r="AF119" s="81"/>
      <c r="AG119" s="81"/>
      <c r="AH119" s="81"/>
      <c r="AI119" s="81"/>
      <c r="AJ119" s="81"/>
      <c r="AK119" s="97"/>
      <c r="AL119" s="97"/>
      <c r="AM119" s="97"/>
      <c r="AN119" s="66">
        <f>D119*I10</f>
        <v>36000</v>
      </c>
      <c r="AO119" s="66"/>
      <c r="AP119" s="67"/>
      <c r="AQ119" s="249">
        <f>D119-AN119</f>
        <v>84000</v>
      </c>
      <c r="AR119" s="81"/>
      <c r="AS119" s="81"/>
      <c r="AT119" s="81"/>
      <c r="AU119" s="81"/>
      <c r="AV119" s="81"/>
      <c r="AW119" s="81"/>
      <c r="AX119" s="75"/>
      <c r="AY119" s="81"/>
      <c r="AZ119" s="81"/>
      <c r="BA119" s="81"/>
      <c r="BB119" s="82"/>
      <c r="BC119" s="138"/>
      <c r="BD119" s="193"/>
      <c r="BE119" s="191">
        <f t="shared" si="12"/>
        <v>120000</v>
      </c>
      <c r="BF119" s="201">
        <f t="shared" si="13"/>
        <v>0</v>
      </c>
    </row>
    <row r="120" spans="1:58" s="2" customFormat="1" ht="36" outlineLevel="1">
      <c r="A120" s="123" t="s">
        <v>118</v>
      </c>
      <c r="B120" s="12">
        <v>2.2</v>
      </c>
      <c r="C120" s="222" t="s">
        <v>55</v>
      </c>
      <c r="D120" s="156">
        <v>20000</v>
      </c>
      <c r="E120" s="314">
        <f t="shared" si="11"/>
        <v>3606.55737704918</v>
      </c>
      <c r="F120" s="341">
        <v>1</v>
      </c>
      <c r="G120" s="73"/>
      <c r="H120" s="70"/>
      <c r="I120" s="70"/>
      <c r="J120" s="70"/>
      <c r="K120" s="70"/>
      <c r="L120" s="70"/>
      <c r="M120" s="70"/>
      <c r="N120" s="70"/>
      <c r="O120" s="70"/>
      <c r="P120" s="70"/>
      <c r="Q120" s="70"/>
      <c r="R120" s="74"/>
      <c r="S120" s="149"/>
      <c r="T120" s="70"/>
      <c r="U120" s="70"/>
      <c r="V120" s="70"/>
      <c r="W120" s="70"/>
      <c r="X120" s="70"/>
      <c r="Y120" s="70"/>
      <c r="Z120" s="70"/>
      <c r="AA120" s="70"/>
      <c r="AB120" s="70"/>
      <c r="AC120" s="70"/>
      <c r="AD120" s="120"/>
      <c r="AE120" s="73"/>
      <c r="AF120" s="70"/>
      <c r="AG120" s="70"/>
      <c r="AH120" s="81"/>
      <c r="AI120" s="81"/>
      <c r="AJ120" s="81"/>
      <c r="AK120" s="97"/>
      <c r="AL120" s="97"/>
      <c r="AM120" s="97"/>
      <c r="AN120" s="66">
        <f>D120*I10</f>
        <v>6000</v>
      </c>
      <c r="AO120" s="66"/>
      <c r="AP120" s="67"/>
      <c r="AQ120" s="249">
        <f>D120-AN120</f>
        <v>14000</v>
      </c>
      <c r="AR120" s="70"/>
      <c r="AS120" s="70"/>
      <c r="AT120" s="70"/>
      <c r="AU120" s="70"/>
      <c r="AV120" s="70"/>
      <c r="AW120" s="70"/>
      <c r="AX120" s="75"/>
      <c r="AY120" s="70"/>
      <c r="AZ120" s="70"/>
      <c r="BA120" s="70"/>
      <c r="BB120" s="74"/>
      <c r="BC120" s="200"/>
      <c r="BD120" s="193"/>
      <c r="BE120" s="191">
        <f t="shared" si="12"/>
        <v>20000</v>
      </c>
      <c r="BF120" s="201">
        <f t="shared" si="13"/>
        <v>0</v>
      </c>
    </row>
    <row r="121" spans="1:58" s="4" customFormat="1" ht="25.5" outlineLevel="1">
      <c r="A121" s="123" t="s">
        <v>118</v>
      </c>
      <c r="B121" s="12">
        <v>2.2</v>
      </c>
      <c r="C121" s="217" t="s">
        <v>48</v>
      </c>
      <c r="D121" s="156">
        <v>10000</v>
      </c>
      <c r="E121" s="314">
        <f t="shared" si="11"/>
        <v>1803.27868852459</v>
      </c>
      <c r="F121" s="341">
        <v>1</v>
      </c>
      <c r="G121" s="358"/>
      <c r="H121" s="97"/>
      <c r="I121" s="97"/>
      <c r="J121" s="97"/>
      <c r="K121" s="66">
        <f>D121*I10</f>
        <v>3000</v>
      </c>
      <c r="L121" s="66"/>
      <c r="M121" s="66"/>
      <c r="N121" s="77">
        <f>D121-K121</f>
        <v>7000</v>
      </c>
      <c r="O121" s="81"/>
      <c r="P121" s="81"/>
      <c r="Q121" s="81"/>
      <c r="R121" s="82"/>
      <c r="S121" s="108"/>
      <c r="T121" s="81"/>
      <c r="U121" s="81"/>
      <c r="V121" s="81"/>
      <c r="W121" s="81"/>
      <c r="X121" s="81"/>
      <c r="Y121" s="81"/>
      <c r="Z121" s="81"/>
      <c r="AA121" s="81"/>
      <c r="AB121" s="81"/>
      <c r="AC121" s="81"/>
      <c r="AD121" s="134"/>
      <c r="AE121" s="80"/>
      <c r="AF121" s="81"/>
      <c r="AG121" s="81"/>
      <c r="AH121" s="81"/>
      <c r="AI121" s="81"/>
      <c r="AJ121" s="81"/>
      <c r="AK121" s="81"/>
      <c r="AL121" s="81"/>
      <c r="AM121" s="81"/>
      <c r="AN121" s="81"/>
      <c r="AO121" s="81"/>
      <c r="AP121" s="82"/>
      <c r="AQ121" s="108"/>
      <c r="AR121" s="81"/>
      <c r="AS121" s="81"/>
      <c r="AT121" s="81"/>
      <c r="AU121" s="81"/>
      <c r="AV121" s="81"/>
      <c r="AW121" s="81"/>
      <c r="AX121" s="75"/>
      <c r="AY121" s="81"/>
      <c r="AZ121" s="81"/>
      <c r="BA121" s="81"/>
      <c r="BB121" s="82"/>
      <c r="BC121" s="138"/>
      <c r="BD121" s="193"/>
      <c r="BE121" s="191">
        <f t="shared" si="12"/>
        <v>10000</v>
      </c>
      <c r="BF121" s="201">
        <f t="shared" si="13"/>
        <v>0</v>
      </c>
    </row>
    <row r="122" spans="1:58" s="2" customFormat="1" ht="25.5" outlineLevel="1">
      <c r="A122" s="123" t="s">
        <v>117</v>
      </c>
      <c r="B122" s="12">
        <v>3.2</v>
      </c>
      <c r="C122" s="222" t="s">
        <v>185</v>
      </c>
      <c r="D122" s="228">
        <v>18000</v>
      </c>
      <c r="E122" s="314">
        <f t="shared" si="11"/>
        <v>3245.901639344262</v>
      </c>
      <c r="F122" s="341">
        <v>1</v>
      </c>
      <c r="G122" s="73"/>
      <c r="H122" s="97"/>
      <c r="I122" s="97"/>
      <c r="J122" s="97"/>
      <c r="K122" s="66">
        <f>D122*I10</f>
        <v>5400</v>
      </c>
      <c r="L122" s="66"/>
      <c r="M122" s="66"/>
      <c r="N122" s="77">
        <f>D122-K122</f>
        <v>12600</v>
      </c>
      <c r="O122" s="70"/>
      <c r="P122" s="70"/>
      <c r="Q122" s="70"/>
      <c r="R122" s="74"/>
      <c r="S122" s="149"/>
      <c r="T122" s="70"/>
      <c r="U122" s="70"/>
      <c r="V122" s="70"/>
      <c r="W122" s="70"/>
      <c r="X122" s="70"/>
      <c r="Y122" s="70"/>
      <c r="Z122" s="70"/>
      <c r="AA122" s="70"/>
      <c r="AB122" s="70"/>
      <c r="AC122" s="70"/>
      <c r="AD122" s="120"/>
      <c r="AE122" s="73"/>
      <c r="AF122" s="70"/>
      <c r="AG122" s="70"/>
      <c r="AH122" s="81"/>
      <c r="AI122" s="81"/>
      <c r="AJ122" s="81"/>
      <c r="AK122" s="48"/>
      <c r="AL122" s="48"/>
      <c r="AM122" s="48"/>
      <c r="AN122" s="81"/>
      <c r="AO122" s="81"/>
      <c r="AP122" s="82"/>
      <c r="AQ122" s="149"/>
      <c r="AR122" s="70"/>
      <c r="AS122" s="70"/>
      <c r="AT122" s="70"/>
      <c r="AU122" s="70"/>
      <c r="AV122" s="70"/>
      <c r="AW122" s="70"/>
      <c r="AX122" s="75"/>
      <c r="AY122" s="70"/>
      <c r="AZ122" s="70"/>
      <c r="BA122" s="70"/>
      <c r="BB122" s="74"/>
      <c r="BC122" s="138"/>
      <c r="BD122" s="193"/>
      <c r="BE122" s="191">
        <f t="shared" si="12"/>
        <v>18000</v>
      </c>
      <c r="BF122" s="201">
        <f t="shared" si="13"/>
        <v>0</v>
      </c>
    </row>
    <row r="123" spans="1:58" s="2" customFormat="1" ht="36" outlineLevel="1">
      <c r="A123" s="123" t="s">
        <v>118</v>
      </c>
      <c r="B123" s="12">
        <v>3.2</v>
      </c>
      <c r="C123" s="222" t="s">
        <v>186</v>
      </c>
      <c r="D123" s="237">
        <v>12000</v>
      </c>
      <c r="E123" s="314">
        <f t="shared" si="11"/>
        <v>2163.934426229508</v>
      </c>
      <c r="F123" s="341">
        <v>1</v>
      </c>
      <c r="G123" s="73"/>
      <c r="H123" s="70"/>
      <c r="I123" s="70"/>
      <c r="J123" s="70"/>
      <c r="K123" s="70"/>
      <c r="L123" s="70"/>
      <c r="M123" s="70"/>
      <c r="N123" s="70"/>
      <c r="O123" s="70"/>
      <c r="P123" s="70"/>
      <c r="Q123" s="70"/>
      <c r="R123" s="74"/>
      <c r="S123" s="149"/>
      <c r="T123" s="70"/>
      <c r="U123" s="70"/>
      <c r="V123" s="70"/>
      <c r="W123" s="70"/>
      <c r="X123" s="70"/>
      <c r="Y123" s="70"/>
      <c r="Z123" s="70"/>
      <c r="AA123" s="70"/>
      <c r="AB123" s="70"/>
      <c r="AC123" s="70"/>
      <c r="AD123" s="120"/>
      <c r="AE123" s="73"/>
      <c r="AF123" s="70"/>
      <c r="AG123" s="70"/>
      <c r="AH123" s="81"/>
      <c r="AI123" s="81"/>
      <c r="AJ123" s="81"/>
      <c r="AK123" s="97"/>
      <c r="AL123" s="97"/>
      <c r="AM123" s="97"/>
      <c r="AN123" s="66">
        <f>D123*I10</f>
        <v>3600</v>
      </c>
      <c r="AO123" s="66"/>
      <c r="AP123" s="67"/>
      <c r="AQ123" s="249">
        <f>D123-AN123</f>
        <v>8400</v>
      </c>
      <c r="AR123" s="70"/>
      <c r="AS123" s="70"/>
      <c r="AT123" s="70"/>
      <c r="AU123" s="70"/>
      <c r="AV123" s="70"/>
      <c r="AW123" s="70"/>
      <c r="AX123" s="75"/>
      <c r="AY123" s="70"/>
      <c r="AZ123" s="70"/>
      <c r="BA123" s="70"/>
      <c r="BB123" s="74"/>
      <c r="BC123" s="200"/>
      <c r="BD123" s="193"/>
      <c r="BE123" s="191">
        <f t="shared" si="12"/>
        <v>12000</v>
      </c>
      <c r="BF123" s="201">
        <f t="shared" si="13"/>
        <v>0</v>
      </c>
    </row>
    <row r="124" spans="1:58" s="6" customFormat="1" ht="14.25">
      <c r="A124" s="330" t="s">
        <v>124</v>
      </c>
      <c r="B124" s="17" t="s">
        <v>119</v>
      </c>
      <c r="C124" s="30"/>
      <c r="D124" s="157"/>
      <c r="E124" s="315"/>
      <c r="F124" s="345"/>
      <c r="G124" s="352"/>
      <c r="H124" s="53"/>
      <c r="I124" s="53"/>
      <c r="J124" s="54"/>
      <c r="K124" s="54"/>
      <c r="L124" s="54"/>
      <c r="M124" s="54"/>
      <c r="N124" s="54"/>
      <c r="O124" s="54"/>
      <c r="P124" s="54"/>
      <c r="Q124" s="54"/>
      <c r="R124" s="55"/>
      <c r="S124" s="56"/>
      <c r="T124" s="54"/>
      <c r="U124" s="54"/>
      <c r="V124" s="54"/>
      <c r="W124" s="54"/>
      <c r="X124" s="54"/>
      <c r="Y124" s="54"/>
      <c r="Z124" s="54"/>
      <c r="AA124" s="54"/>
      <c r="AB124" s="54"/>
      <c r="AC124" s="54"/>
      <c r="AD124" s="132"/>
      <c r="AE124" s="56"/>
      <c r="AF124" s="54"/>
      <c r="AG124" s="54"/>
      <c r="AH124" s="54"/>
      <c r="AI124" s="54"/>
      <c r="AJ124" s="54"/>
      <c r="AK124" s="54"/>
      <c r="AL124" s="54"/>
      <c r="AM124" s="54"/>
      <c r="AN124" s="54"/>
      <c r="AO124" s="54"/>
      <c r="AP124" s="55"/>
      <c r="AQ124" s="145"/>
      <c r="AR124" s="54"/>
      <c r="AS124" s="54"/>
      <c r="AT124" s="54"/>
      <c r="AU124" s="54"/>
      <c r="AV124" s="54"/>
      <c r="AW124" s="54"/>
      <c r="AX124" s="44"/>
      <c r="AY124" s="54"/>
      <c r="AZ124" s="54"/>
      <c r="BA124" s="54"/>
      <c r="BB124" s="55"/>
      <c r="BC124" s="192"/>
      <c r="BD124" s="187"/>
      <c r="BE124" s="191">
        <f t="shared" si="12"/>
        <v>0</v>
      </c>
      <c r="BF124" s="201">
        <f t="shared" si="13"/>
        <v>0</v>
      </c>
    </row>
    <row r="125" spans="1:58" ht="24" outlineLevel="1">
      <c r="A125" s="123" t="s">
        <v>120</v>
      </c>
      <c r="B125" s="11">
        <v>1.5</v>
      </c>
      <c r="C125" s="221" t="s">
        <v>62</v>
      </c>
      <c r="D125" s="162">
        <v>118455</v>
      </c>
      <c r="E125" s="314">
        <f t="shared" si="11"/>
        <v>21360.737704918032</v>
      </c>
      <c r="F125" s="341">
        <v>0.6545</v>
      </c>
      <c r="G125" s="214"/>
      <c r="H125" s="19"/>
      <c r="I125" s="19"/>
      <c r="J125" s="19"/>
      <c r="K125" s="19"/>
      <c r="L125" s="19"/>
      <c r="M125" s="19"/>
      <c r="N125" s="19"/>
      <c r="O125" s="389">
        <v>2000</v>
      </c>
      <c r="P125" s="19"/>
      <c r="Q125" s="19"/>
      <c r="R125" s="86"/>
      <c r="S125" s="43"/>
      <c r="T125" s="19"/>
      <c r="U125" s="19"/>
      <c r="V125" s="19"/>
      <c r="W125" s="19"/>
      <c r="X125" s="57"/>
      <c r="Y125" s="57"/>
      <c r="Z125" s="57"/>
      <c r="AA125" s="95">
        <f>(D125-O125)*I10</f>
        <v>34936.5</v>
      </c>
      <c r="AB125" s="95"/>
      <c r="AC125" s="95"/>
      <c r="AD125" s="63">
        <f>D125-O125-AA125</f>
        <v>81518.5</v>
      </c>
      <c r="AE125" s="78"/>
      <c r="AF125" s="43"/>
      <c r="AG125" s="43"/>
      <c r="AH125" s="43"/>
      <c r="AI125" s="43"/>
      <c r="AJ125" s="43"/>
      <c r="AK125" s="43"/>
      <c r="AL125" s="43"/>
      <c r="AM125" s="43"/>
      <c r="AN125" s="43"/>
      <c r="AO125" s="43"/>
      <c r="AP125" s="79"/>
      <c r="AQ125" s="151"/>
      <c r="AR125" s="43"/>
      <c r="AS125" s="43"/>
      <c r="AT125" s="43"/>
      <c r="AU125" s="43"/>
      <c r="AV125" s="43"/>
      <c r="AW125" s="43"/>
      <c r="AX125" s="44"/>
      <c r="AY125" s="43"/>
      <c r="AZ125" s="43"/>
      <c r="BA125" s="43"/>
      <c r="BB125" s="79"/>
      <c r="BC125" s="138"/>
      <c r="BE125" s="191">
        <f t="shared" si="12"/>
        <v>118455</v>
      </c>
      <c r="BF125" s="201">
        <f t="shared" si="13"/>
        <v>0</v>
      </c>
    </row>
    <row r="126" spans="1:58" ht="24" outlineLevel="1">
      <c r="A126" s="123" t="s">
        <v>120</v>
      </c>
      <c r="B126" s="20">
        <v>2.3</v>
      </c>
      <c r="C126" s="217" t="s">
        <v>197</v>
      </c>
      <c r="D126" s="158">
        <v>74652</v>
      </c>
      <c r="E126" s="314">
        <f t="shared" si="11"/>
        <v>13461.83606557377</v>
      </c>
      <c r="F126" s="343">
        <v>0.6544</v>
      </c>
      <c r="G126" s="78"/>
      <c r="H126" s="57"/>
      <c r="I126" s="57"/>
      <c r="J126" s="388"/>
      <c r="K126" s="66">
        <f>D126*I10</f>
        <v>22395.6</v>
      </c>
      <c r="L126" s="66"/>
      <c r="M126" s="66"/>
      <c r="N126" s="66"/>
      <c r="O126" s="66"/>
      <c r="P126" s="66"/>
      <c r="Q126" s="43">
        <f>D126-K126</f>
        <v>52256.4</v>
      </c>
      <c r="R126" s="260"/>
      <c r="S126" s="376"/>
      <c r="T126" s="19"/>
      <c r="U126" s="19"/>
      <c r="V126" s="19"/>
      <c r="W126" s="43"/>
      <c r="X126" s="43"/>
      <c r="Y126" s="43"/>
      <c r="Z126" s="43"/>
      <c r="AA126" s="43"/>
      <c r="AB126" s="43"/>
      <c r="AC126" s="43"/>
      <c r="AD126" s="86"/>
      <c r="AE126" s="78"/>
      <c r="AF126" s="43"/>
      <c r="AG126" s="43"/>
      <c r="AH126" s="43"/>
      <c r="AI126" s="43"/>
      <c r="AJ126" s="43"/>
      <c r="AK126" s="43"/>
      <c r="AL126" s="43"/>
      <c r="AM126" s="43"/>
      <c r="AN126" s="43"/>
      <c r="AO126" s="43"/>
      <c r="AP126" s="79"/>
      <c r="AQ126" s="151"/>
      <c r="AR126" s="43"/>
      <c r="AS126" s="43"/>
      <c r="AT126" s="43"/>
      <c r="AU126" s="43"/>
      <c r="AV126" s="43"/>
      <c r="AW126" s="43"/>
      <c r="AX126" s="44"/>
      <c r="AY126" s="43"/>
      <c r="AZ126" s="43"/>
      <c r="BA126" s="43"/>
      <c r="BB126" s="79"/>
      <c r="BC126" s="195"/>
      <c r="BE126" s="191">
        <f t="shared" si="12"/>
        <v>74652</v>
      </c>
      <c r="BF126" s="201">
        <f t="shared" si="13"/>
        <v>0</v>
      </c>
    </row>
    <row r="127" spans="1:58" ht="14.25" outlineLevel="1">
      <c r="A127" s="123" t="s">
        <v>120</v>
      </c>
      <c r="B127" s="20">
        <v>2.3</v>
      </c>
      <c r="C127" s="221" t="s">
        <v>196</v>
      </c>
      <c r="D127" s="159">
        <v>138639</v>
      </c>
      <c r="E127" s="314">
        <f t="shared" si="11"/>
        <v>25000.475409836065</v>
      </c>
      <c r="F127" s="343">
        <v>0.6544</v>
      </c>
      <c r="G127" s="78"/>
      <c r="H127" s="57"/>
      <c r="I127" s="57"/>
      <c r="J127" s="388"/>
      <c r="K127" s="66">
        <f>D127*I10</f>
        <v>41591.7</v>
      </c>
      <c r="L127" s="66"/>
      <c r="M127" s="66"/>
      <c r="N127" s="66"/>
      <c r="O127" s="66"/>
      <c r="P127" s="66"/>
      <c r="Q127" s="43">
        <f>D127-K127</f>
        <v>97047.3</v>
      </c>
      <c r="R127" s="260"/>
      <c r="S127" s="376"/>
      <c r="T127" s="19"/>
      <c r="U127" s="19"/>
      <c r="V127" s="19"/>
      <c r="W127" s="43"/>
      <c r="X127" s="43"/>
      <c r="Y127" s="43"/>
      <c r="Z127" s="43"/>
      <c r="AA127" s="43"/>
      <c r="AB127" s="43"/>
      <c r="AC127" s="43"/>
      <c r="AD127" s="86"/>
      <c r="AE127" s="78"/>
      <c r="AF127" s="43"/>
      <c r="AG127" s="43"/>
      <c r="AH127" s="43"/>
      <c r="AI127" s="43"/>
      <c r="AJ127" s="43"/>
      <c r="AK127" s="43"/>
      <c r="AL127" s="43"/>
      <c r="AM127" s="43"/>
      <c r="AN127" s="43"/>
      <c r="AO127" s="43"/>
      <c r="AP127" s="79"/>
      <c r="AQ127" s="151"/>
      <c r="AR127" s="43"/>
      <c r="AS127" s="43"/>
      <c r="AT127" s="43"/>
      <c r="AU127" s="43"/>
      <c r="AV127" s="43"/>
      <c r="AW127" s="43"/>
      <c r="AX127" s="44"/>
      <c r="AY127" s="43"/>
      <c r="AZ127" s="43"/>
      <c r="BA127" s="43"/>
      <c r="BB127" s="79"/>
      <c r="BC127" s="195"/>
      <c r="BE127" s="191">
        <f t="shared" si="12"/>
        <v>138639</v>
      </c>
      <c r="BF127" s="201">
        <f t="shared" si="13"/>
        <v>0</v>
      </c>
    </row>
    <row r="128" spans="1:58" ht="24" outlineLevel="1">
      <c r="A128" s="123" t="s">
        <v>120</v>
      </c>
      <c r="B128" s="20">
        <v>2.3</v>
      </c>
      <c r="C128" s="217" t="s">
        <v>198</v>
      </c>
      <c r="D128" s="158">
        <v>31994</v>
      </c>
      <c r="E128" s="314">
        <f t="shared" si="11"/>
        <v>5769.4098360655735</v>
      </c>
      <c r="F128" s="343">
        <v>0.6545</v>
      </c>
      <c r="G128" s="78"/>
      <c r="H128" s="207"/>
      <c r="I128" s="57"/>
      <c r="J128" s="57"/>
      <c r="K128" s="66">
        <f>D128*I10</f>
        <v>9598.199999999999</v>
      </c>
      <c r="L128" s="66"/>
      <c r="M128" s="66"/>
      <c r="N128" s="66"/>
      <c r="O128" s="66"/>
      <c r="P128" s="66"/>
      <c r="Q128" s="87">
        <f>D128-K128</f>
        <v>22395.800000000003</v>
      </c>
      <c r="R128" s="86"/>
      <c r="S128" s="376"/>
      <c r="T128" s="19"/>
      <c r="U128" s="19"/>
      <c r="V128" s="19"/>
      <c r="W128" s="19"/>
      <c r="X128" s="19"/>
      <c r="Y128" s="19"/>
      <c r="Z128" s="43"/>
      <c r="AA128" s="43"/>
      <c r="AB128" s="43"/>
      <c r="AC128" s="43"/>
      <c r="AD128" s="86"/>
      <c r="AE128" s="78"/>
      <c r="AF128" s="43"/>
      <c r="AG128" s="43"/>
      <c r="AH128" s="43"/>
      <c r="AI128" s="43"/>
      <c r="AJ128" s="43"/>
      <c r="AK128" s="43"/>
      <c r="AL128" s="43"/>
      <c r="AM128" s="43"/>
      <c r="AN128" s="43"/>
      <c r="AO128" s="43"/>
      <c r="AP128" s="79"/>
      <c r="AQ128" s="151"/>
      <c r="AR128" s="43"/>
      <c r="AS128" s="43"/>
      <c r="AT128" s="43"/>
      <c r="AU128" s="43"/>
      <c r="AV128" s="43"/>
      <c r="AW128" s="43"/>
      <c r="AX128" s="44"/>
      <c r="AY128" s="43"/>
      <c r="AZ128" s="43"/>
      <c r="BA128" s="43"/>
      <c r="BB128" s="79"/>
      <c r="BC128" s="195"/>
      <c r="BE128" s="191">
        <f t="shared" si="12"/>
        <v>31994</v>
      </c>
      <c r="BF128" s="201">
        <f t="shared" si="13"/>
        <v>0</v>
      </c>
    </row>
    <row r="129" spans="1:58" ht="24" outlineLevel="1">
      <c r="A129" s="123" t="s">
        <v>120</v>
      </c>
      <c r="B129" s="20">
        <v>2.3</v>
      </c>
      <c r="C129" s="217" t="s">
        <v>199</v>
      </c>
      <c r="D129" s="158">
        <v>40525</v>
      </c>
      <c r="E129" s="314">
        <f t="shared" si="11"/>
        <v>7307.786885245901</v>
      </c>
      <c r="F129" s="343">
        <v>0.6545</v>
      </c>
      <c r="G129" s="78"/>
      <c r="H129" s="57"/>
      <c r="I129" s="57"/>
      <c r="J129" s="57"/>
      <c r="K129" s="66">
        <f>D129*I10</f>
        <v>12157.5</v>
      </c>
      <c r="L129" s="66"/>
      <c r="M129" s="66"/>
      <c r="N129" s="66"/>
      <c r="O129" s="66"/>
      <c r="P129" s="66"/>
      <c r="Q129" s="43">
        <f>D129-K129</f>
        <v>28367.5</v>
      </c>
      <c r="R129" s="260"/>
      <c r="S129" s="376"/>
      <c r="T129" s="43"/>
      <c r="U129" s="43"/>
      <c r="V129" s="19"/>
      <c r="W129" s="19"/>
      <c r="X129" s="19"/>
      <c r="Y129" s="19"/>
      <c r="Z129" s="19"/>
      <c r="AA129" s="19"/>
      <c r="AB129" s="19"/>
      <c r="AC129" s="43"/>
      <c r="AD129" s="86"/>
      <c r="AE129" s="78"/>
      <c r="AF129" s="43"/>
      <c r="AG129" s="43"/>
      <c r="AH129" s="43"/>
      <c r="AI129" s="43"/>
      <c r="AJ129" s="43"/>
      <c r="AK129" s="43"/>
      <c r="AL129" s="43"/>
      <c r="AM129" s="43"/>
      <c r="AN129" s="43"/>
      <c r="AO129" s="43"/>
      <c r="AP129" s="79"/>
      <c r="AQ129" s="151"/>
      <c r="AR129" s="43"/>
      <c r="AS129" s="43"/>
      <c r="AT129" s="43"/>
      <c r="AU129" s="43"/>
      <c r="AV129" s="43"/>
      <c r="AW129" s="43"/>
      <c r="AX129" s="44"/>
      <c r="AY129" s="43"/>
      <c r="AZ129" s="43"/>
      <c r="BA129" s="43"/>
      <c r="BB129" s="79"/>
      <c r="BC129" s="195"/>
      <c r="BE129" s="191">
        <f t="shared" si="12"/>
        <v>40525</v>
      </c>
      <c r="BF129" s="201">
        <f t="shared" si="13"/>
        <v>0</v>
      </c>
    </row>
    <row r="130" spans="1:58" ht="24" outlineLevel="1">
      <c r="A130" s="123" t="s">
        <v>120</v>
      </c>
      <c r="B130" s="20">
        <v>2.3</v>
      </c>
      <c r="C130" s="217" t="s">
        <v>200</v>
      </c>
      <c r="D130" s="158">
        <v>19409</v>
      </c>
      <c r="E130" s="314">
        <f t="shared" si="11"/>
        <v>3499.9836065573772</v>
      </c>
      <c r="F130" s="343">
        <v>0.6544</v>
      </c>
      <c r="G130" s="78"/>
      <c r="H130" s="57"/>
      <c r="I130" s="57"/>
      <c r="J130" s="57"/>
      <c r="K130" s="66">
        <f>D130*I10</f>
        <v>5822.7</v>
      </c>
      <c r="L130" s="66"/>
      <c r="M130" s="66"/>
      <c r="N130" s="66"/>
      <c r="O130" s="66"/>
      <c r="P130" s="66"/>
      <c r="Q130" s="43">
        <f>D130-K130</f>
        <v>13586.3</v>
      </c>
      <c r="R130" s="260"/>
      <c r="S130" s="214"/>
      <c r="T130" s="43"/>
      <c r="U130" s="43"/>
      <c r="V130" s="19"/>
      <c r="W130" s="19"/>
      <c r="X130" s="19"/>
      <c r="Y130" s="19"/>
      <c r="Z130" s="19"/>
      <c r="AA130" s="19"/>
      <c r="AB130" s="19"/>
      <c r="AC130" s="43"/>
      <c r="AD130" s="86"/>
      <c r="AE130" s="78"/>
      <c r="AF130" s="43"/>
      <c r="AG130" s="43"/>
      <c r="AH130" s="43"/>
      <c r="AI130" s="43"/>
      <c r="AJ130" s="43"/>
      <c r="AK130" s="43"/>
      <c r="AL130" s="43"/>
      <c r="AM130" s="43"/>
      <c r="AN130" s="43"/>
      <c r="AO130" s="43"/>
      <c r="AP130" s="79"/>
      <c r="AQ130" s="151"/>
      <c r="AR130" s="43"/>
      <c r="AS130" s="43"/>
      <c r="AT130" s="43"/>
      <c r="AU130" s="43"/>
      <c r="AV130" s="43"/>
      <c r="AW130" s="43"/>
      <c r="AX130" s="44"/>
      <c r="AY130" s="43"/>
      <c r="AZ130" s="43"/>
      <c r="BA130" s="43"/>
      <c r="BB130" s="79"/>
      <c r="BC130" s="195"/>
      <c r="BE130" s="191">
        <f t="shared" si="12"/>
        <v>19409</v>
      </c>
      <c r="BF130" s="201">
        <f t="shared" si="13"/>
        <v>0</v>
      </c>
    </row>
    <row r="131" spans="1:58" s="6" customFormat="1" ht="14.25">
      <c r="A131" s="330" t="s">
        <v>124</v>
      </c>
      <c r="B131" s="17" t="s">
        <v>121</v>
      </c>
      <c r="C131" s="30"/>
      <c r="D131" s="157"/>
      <c r="E131" s="315"/>
      <c r="F131" s="342"/>
      <c r="G131" s="352"/>
      <c r="H131" s="53"/>
      <c r="I131" s="53"/>
      <c r="J131" s="54"/>
      <c r="K131" s="54"/>
      <c r="L131" s="54"/>
      <c r="M131" s="54"/>
      <c r="N131" s="54"/>
      <c r="O131" s="54"/>
      <c r="P131" s="54"/>
      <c r="Q131" s="54"/>
      <c r="R131" s="55"/>
      <c r="S131" s="375"/>
      <c r="T131" s="54"/>
      <c r="U131" s="54"/>
      <c r="V131" s="54"/>
      <c r="W131" s="54"/>
      <c r="X131" s="54"/>
      <c r="Y131" s="54"/>
      <c r="Z131" s="54"/>
      <c r="AA131" s="54"/>
      <c r="AB131" s="54"/>
      <c r="AC131" s="54"/>
      <c r="AD131" s="132"/>
      <c r="AE131" s="56"/>
      <c r="AF131" s="54"/>
      <c r="AG131" s="54"/>
      <c r="AH131" s="54"/>
      <c r="AI131" s="54"/>
      <c r="AJ131" s="54"/>
      <c r="AK131" s="54"/>
      <c r="AL131" s="54"/>
      <c r="AM131" s="54"/>
      <c r="AN131" s="54"/>
      <c r="AO131" s="54"/>
      <c r="AP131" s="55"/>
      <c r="AQ131" s="145"/>
      <c r="AR131" s="54"/>
      <c r="AS131" s="54"/>
      <c r="AT131" s="54"/>
      <c r="AU131" s="54"/>
      <c r="AV131" s="54"/>
      <c r="AW131" s="54"/>
      <c r="AX131" s="44"/>
      <c r="AY131" s="54"/>
      <c r="AZ131" s="54"/>
      <c r="BA131" s="54"/>
      <c r="BB131" s="55"/>
      <c r="BC131" s="192"/>
      <c r="BD131" s="187"/>
      <c r="BE131" s="191">
        <f t="shared" si="12"/>
        <v>0</v>
      </c>
      <c r="BF131" s="201">
        <f t="shared" si="13"/>
        <v>0</v>
      </c>
    </row>
    <row r="132" spans="1:58" ht="48" outlineLevel="1">
      <c r="A132" s="125" t="s">
        <v>122</v>
      </c>
      <c r="B132" s="22">
        <v>1.6</v>
      </c>
      <c r="C132" s="229" t="s">
        <v>0</v>
      </c>
      <c r="D132" s="156">
        <v>2507</v>
      </c>
      <c r="E132" s="314">
        <f t="shared" si="11"/>
        <v>452.08196721311475</v>
      </c>
      <c r="F132" s="341">
        <v>0.9817</v>
      </c>
      <c r="G132" s="353"/>
      <c r="H132" s="57"/>
      <c r="I132" s="113"/>
      <c r="J132" s="49">
        <f>D132*I10</f>
        <v>752.1</v>
      </c>
      <c r="K132" s="49"/>
      <c r="L132" s="49">
        <f>D132-J132-K132</f>
        <v>1754.9</v>
      </c>
      <c r="M132" s="19"/>
      <c r="N132" s="19"/>
      <c r="O132" s="43"/>
      <c r="P132" s="43"/>
      <c r="Q132" s="43"/>
      <c r="R132" s="79"/>
      <c r="S132" s="151"/>
      <c r="T132" s="43"/>
      <c r="U132" s="43"/>
      <c r="V132" s="43"/>
      <c r="W132" s="43"/>
      <c r="X132" s="43"/>
      <c r="Y132" s="43"/>
      <c r="Z132" s="43"/>
      <c r="AA132" s="43"/>
      <c r="AB132" s="43"/>
      <c r="AC132" s="43"/>
      <c r="AD132" s="86"/>
      <c r="AE132" s="78"/>
      <c r="AF132" s="43"/>
      <c r="AG132" s="43"/>
      <c r="AH132" s="43"/>
      <c r="AI132" s="43"/>
      <c r="AJ132" s="43"/>
      <c r="AK132" s="43"/>
      <c r="AL132" s="43"/>
      <c r="AM132" s="43"/>
      <c r="AN132" s="43"/>
      <c r="AO132" s="43"/>
      <c r="AP132" s="79"/>
      <c r="AQ132" s="151"/>
      <c r="AR132" s="43"/>
      <c r="AS132" s="43"/>
      <c r="AT132" s="43"/>
      <c r="AU132" s="43"/>
      <c r="AV132" s="43"/>
      <c r="AW132" s="43"/>
      <c r="AX132" s="44"/>
      <c r="AY132" s="43"/>
      <c r="AZ132" s="43"/>
      <c r="BA132" s="43"/>
      <c r="BB132" s="79"/>
      <c r="BC132" s="138"/>
      <c r="BE132" s="191">
        <f t="shared" si="12"/>
        <v>2507</v>
      </c>
      <c r="BF132" s="201">
        <f t="shared" si="13"/>
        <v>0</v>
      </c>
    </row>
    <row r="133" spans="1:58" ht="48" outlineLevel="1">
      <c r="A133" s="125" t="s">
        <v>122</v>
      </c>
      <c r="B133" s="22">
        <v>1.6</v>
      </c>
      <c r="C133" s="229" t="s">
        <v>1</v>
      </c>
      <c r="D133" s="156">
        <v>15140</v>
      </c>
      <c r="E133" s="314">
        <f t="shared" si="11"/>
        <v>2730.1639344262294</v>
      </c>
      <c r="F133" s="341">
        <v>0.9816</v>
      </c>
      <c r="G133" s="353"/>
      <c r="H133" s="57"/>
      <c r="I133" s="113"/>
      <c r="J133" s="49">
        <f>D133*I10</f>
        <v>4542</v>
      </c>
      <c r="K133" s="49"/>
      <c r="L133" s="49">
        <f>D133-J133-K133</f>
        <v>10598</v>
      </c>
      <c r="M133" s="19"/>
      <c r="N133" s="19"/>
      <c r="O133" s="43"/>
      <c r="P133" s="43"/>
      <c r="Q133" s="43"/>
      <c r="R133" s="79"/>
      <c r="S133" s="151"/>
      <c r="T133" s="43"/>
      <c r="U133" s="43"/>
      <c r="V133" s="43"/>
      <c r="W133" s="43"/>
      <c r="X133" s="43"/>
      <c r="Y133" s="43"/>
      <c r="Z133" s="43"/>
      <c r="AA133" s="43"/>
      <c r="AB133" s="43"/>
      <c r="AC133" s="43"/>
      <c r="AD133" s="86"/>
      <c r="AE133" s="78"/>
      <c r="AF133" s="43"/>
      <c r="AG133" s="43"/>
      <c r="AH133" s="43"/>
      <c r="AI133" s="43"/>
      <c r="AJ133" s="43"/>
      <c r="AK133" s="43"/>
      <c r="AL133" s="43"/>
      <c r="AM133" s="43"/>
      <c r="AN133" s="43"/>
      <c r="AO133" s="43"/>
      <c r="AP133" s="79"/>
      <c r="AQ133" s="151"/>
      <c r="AR133" s="43"/>
      <c r="AS133" s="43"/>
      <c r="AT133" s="43"/>
      <c r="AU133" s="43"/>
      <c r="AV133" s="43"/>
      <c r="AW133" s="43"/>
      <c r="AX133" s="44"/>
      <c r="AY133" s="43"/>
      <c r="AZ133" s="43"/>
      <c r="BA133" s="43"/>
      <c r="BB133" s="79"/>
      <c r="BC133" s="138"/>
      <c r="BE133" s="191">
        <f t="shared" si="12"/>
        <v>15140</v>
      </c>
      <c r="BF133" s="201">
        <f t="shared" si="13"/>
        <v>0</v>
      </c>
    </row>
    <row r="134" spans="1:58" ht="48" outlineLevel="1">
      <c r="A134" s="125" t="s">
        <v>122</v>
      </c>
      <c r="B134" s="22">
        <v>1.6</v>
      </c>
      <c r="C134" s="229" t="s">
        <v>2</v>
      </c>
      <c r="D134" s="156">
        <v>10691</v>
      </c>
      <c r="E134" s="314">
        <f t="shared" si="11"/>
        <v>1927.8852459016393</v>
      </c>
      <c r="F134" s="341">
        <v>0.9816</v>
      </c>
      <c r="G134" s="353"/>
      <c r="H134" s="57"/>
      <c r="I134" s="113"/>
      <c r="J134" s="49">
        <f>D134*I10</f>
        <v>3207.2999999999997</v>
      </c>
      <c r="K134" s="49"/>
      <c r="L134" s="49">
        <f>D134-J134-K134</f>
        <v>7483.700000000001</v>
      </c>
      <c r="M134" s="19"/>
      <c r="N134" s="19"/>
      <c r="O134" s="43"/>
      <c r="P134" s="43"/>
      <c r="Q134" s="43"/>
      <c r="R134" s="79"/>
      <c r="S134" s="151"/>
      <c r="T134" s="43"/>
      <c r="U134" s="43"/>
      <c r="V134" s="43"/>
      <c r="W134" s="43"/>
      <c r="X134" s="43"/>
      <c r="Y134" s="43"/>
      <c r="Z134" s="43"/>
      <c r="AA134" s="43"/>
      <c r="AB134" s="43"/>
      <c r="AC134" s="43"/>
      <c r="AD134" s="86"/>
      <c r="AE134" s="78"/>
      <c r="AF134" s="43"/>
      <c r="AG134" s="43"/>
      <c r="AH134" s="43"/>
      <c r="AI134" s="43"/>
      <c r="AJ134" s="43"/>
      <c r="AK134" s="43"/>
      <c r="AL134" s="43"/>
      <c r="AM134" s="43"/>
      <c r="AN134" s="43"/>
      <c r="AO134" s="43"/>
      <c r="AP134" s="79"/>
      <c r="AQ134" s="151"/>
      <c r="AR134" s="43"/>
      <c r="AS134" s="43"/>
      <c r="AT134" s="43"/>
      <c r="AU134" s="43"/>
      <c r="AV134" s="43"/>
      <c r="AW134" s="43"/>
      <c r="AX134" s="44"/>
      <c r="AY134" s="43"/>
      <c r="AZ134" s="43"/>
      <c r="BA134" s="43"/>
      <c r="BB134" s="79"/>
      <c r="BC134" s="138"/>
      <c r="BE134" s="191">
        <f t="shared" si="12"/>
        <v>10691</v>
      </c>
      <c r="BF134" s="201">
        <f t="shared" si="13"/>
        <v>0</v>
      </c>
    </row>
    <row r="135" spans="1:58" ht="36" outlineLevel="1">
      <c r="A135" s="125" t="s">
        <v>122</v>
      </c>
      <c r="B135" s="22">
        <v>1.6</v>
      </c>
      <c r="C135" s="229" t="s">
        <v>3</v>
      </c>
      <c r="D135" s="156">
        <v>4264</v>
      </c>
      <c r="E135" s="314">
        <f t="shared" si="11"/>
        <v>768.9180327868852</v>
      </c>
      <c r="F135" s="341">
        <v>0.9817</v>
      </c>
      <c r="G135" s="353"/>
      <c r="H135" s="57"/>
      <c r="I135" s="113"/>
      <c r="J135" s="49">
        <f>D135*I10</f>
        <v>1279.2</v>
      </c>
      <c r="K135" s="49"/>
      <c r="L135" s="49">
        <f>D135-J135-K135</f>
        <v>2984.8</v>
      </c>
      <c r="M135" s="19"/>
      <c r="N135" s="19"/>
      <c r="O135" s="43"/>
      <c r="P135" s="43"/>
      <c r="Q135" s="43"/>
      <c r="R135" s="79"/>
      <c r="S135" s="151"/>
      <c r="T135" s="43"/>
      <c r="U135" s="43"/>
      <c r="V135" s="43"/>
      <c r="W135" s="43"/>
      <c r="X135" s="43"/>
      <c r="Y135" s="43"/>
      <c r="Z135" s="43"/>
      <c r="AA135" s="43"/>
      <c r="AB135" s="43"/>
      <c r="AC135" s="43"/>
      <c r="AD135" s="86"/>
      <c r="AE135" s="78"/>
      <c r="AF135" s="43"/>
      <c r="AG135" s="43"/>
      <c r="AH135" s="43"/>
      <c r="AI135" s="43"/>
      <c r="AJ135" s="43"/>
      <c r="AK135" s="43"/>
      <c r="AL135" s="43"/>
      <c r="AM135" s="43"/>
      <c r="AN135" s="43"/>
      <c r="AO135" s="43"/>
      <c r="AP135" s="79"/>
      <c r="AQ135" s="151"/>
      <c r="AR135" s="43"/>
      <c r="AS135" s="43"/>
      <c r="AT135" s="43"/>
      <c r="AU135" s="43"/>
      <c r="AV135" s="43"/>
      <c r="AW135" s="43"/>
      <c r="AX135" s="44"/>
      <c r="AY135" s="43"/>
      <c r="AZ135" s="43"/>
      <c r="BA135" s="43"/>
      <c r="BB135" s="79"/>
      <c r="BC135" s="138"/>
      <c r="BE135" s="191">
        <f t="shared" si="12"/>
        <v>4264</v>
      </c>
      <c r="BF135" s="201">
        <f t="shared" si="13"/>
        <v>0</v>
      </c>
    </row>
    <row r="136" spans="1:58" ht="36" outlineLevel="1">
      <c r="A136" s="125" t="s">
        <v>122</v>
      </c>
      <c r="B136" s="22">
        <v>1.6</v>
      </c>
      <c r="C136" s="229" t="s">
        <v>4</v>
      </c>
      <c r="D136" s="156">
        <v>2363</v>
      </c>
      <c r="E136" s="314">
        <f t="shared" si="11"/>
        <v>426.11475409836066</v>
      </c>
      <c r="F136" s="341">
        <v>0.982</v>
      </c>
      <c r="G136" s="353"/>
      <c r="H136" s="57"/>
      <c r="I136" s="113"/>
      <c r="J136" s="49">
        <f>D136*I10</f>
        <v>708.9</v>
      </c>
      <c r="K136" s="49"/>
      <c r="L136" s="49">
        <f>D136-J136-K136</f>
        <v>1654.1</v>
      </c>
      <c r="M136" s="19"/>
      <c r="N136" s="19"/>
      <c r="O136" s="43"/>
      <c r="P136" s="43"/>
      <c r="Q136" s="43"/>
      <c r="R136" s="79"/>
      <c r="S136" s="151"/>
      <c r="T136" s="43"/>
      <c r="U136" s="43"/>
      <c r="V136" s="43"/>
      <c r="W136" s="43"/>
      <c r="X136" s="43"/>
      <c r="Y136" s="43"/>
      <c r="Z136" s="43"/>
      <c r="AA136" s="43"/>
      <c r="AB136" s="43"/>
      <c r="AC136" s="43"/>
      <c r="AD136" s="86"/>
      <c r="AE136" s="78"/>
      <c r="AF136" s="43"/>
      <c r="AG136" s="43"/>
      <c r="AH136" s="43"/>
      <c r="AI136" s="43"/>
      <c r="AJ136" s="43"/>
      <c r="AK136" s="43"/>
      <c r="AL136" s="43"/>
      <c r="AM136" s="43"/>
      <c r="AN136" s="43"/>
      <c r="AO136" s="43"/>
      <c r="AP136" s="79"/>
      <c r="AQ136" s="151"/>
      <c r="AR136" s="43"/>
      <c r="AS136" s="43"/>
      <c r="AT136" s="43"/>
      <c r="AU136" s="43"/>
      <c r="AV136" s="43"/>
      <c r="AW136" s="43"/>
      <c r="AX136" s="44"/>
      <c r="AY136" s="43"/>
      <c r="AZ136" s="43"/>
      <c r="BA136" s="43"/>
      <c r="BB136" s="79"/>
      <c r="BC136" s="138"/>
      <c r="BE136" s="191">
        <f t="shared" si="12"/>
        <v>2363</v>
      </c>
      <c r="BF136" s="201">
        <f t="shared" si="13"/>
        <v>0</v>
      </c>
    </row>
    <row r="137" spans="1:58" s="2" customFormat="1" ht="72" outlineLevel="1">
      <c r="A137" s="123" t="s">
        <v>122</v>
      </c>
      <c r="B137" s="12">
        <v>2.4</v>
      </c>
      <c r="C137" s="230" t="s">
        <v>21</v>
      </c>
      <c r="D137" s="227">
        <v>104225</v>
      </c>
      <c r="E137" s="314">
        <f t="shared" si="11"/>
        <v>18794.67213114754</v>
      </c>
      <c r="F137" s="346">
        <v>0.9815</v>
      </c>
      <c r="G137" s="73"/>
      <c r="H137" s="57"/>
      <c r="I137" s="113"/>
      <c r="J137" s="393">
        <f>29500*I10</f>
        <v>8850</v>
      </c>
      <c r="K137" s="114"/>
      <c r="L137" s="393">
        <f>29500-J137</f>
        <v>20650</v>
      </c>
      <c r="M137" s="70"/>
      <c r="N137" s="70"/>
      <c r="O137" s="70"/>
      <c r="P137" s="70"/>
      <c r="Q137" s="70"/>
      <c r="R137" s="74"/>
      <c r="S137" s="149"/>
      <c r="T137" s="70"/>
      <c r="U137" s="70"/>
      <c r="V137" s="70"/>
      <c r="W137" s="70"/>
      <c r="X137" s="70"/>
      <c r="Y137" s="96" t="s">
        <v>63</v>
      </c>
      <c r="Z137" s="96"/>
      <c r="AA137" s="96"/>
      <c r="AB137" s="83">
        <f>(D137-J137-L137)*I10</f>
        <v>22417.5</v>
      </c>
      <c r="AC137" s="83"/>
      <c r="AD137" s="140">
        <f>D137-J137-L137-AB137</f>
        <v>52307.5</v>
      </c>
      <c r="AE137" s="211"/>
      <c r="AF137" s="46"/>
      <c r="AG137" s="46"/>
      <c r="AH137" s="87"/>
      <c r="AI137" s="46"/>
      <c r="AJ137" s="46"/>
      <c r="AK137" s="46"/>
      <c r="AL137" s="46"/>
      <c r="AM137" s="46"/>
      <c r="AN137" s="46"/>
      <c r="AO137" s="46"/>
      <c r="AP137" s="254"/>
      <c r="AQ137" s="154"/>
      <c r="AR137" s="70"/>
      <c r="AS137" s="70"/>
      <c r="AT137" s="70"/>
      <c r="AU137" s="70"/>
      <c r="AV137" s="70"/>
      <c r="AW137" s="70"/>
      <c r="AX137" s="75"/>
      <c r="AY137" s="70"/>
      <c r="AZ137" s="70"/>
      <c r="BA137" s="70"/>
      <c r="BB137" s="74"/>
      <c r="BC137" s="138"/>
      <c r="BD137" s="193"/>
      <c r="BE137" s="191">
        <f t="shared" si="12"/>
        <v>104225</v>
      </c>
      <c r="BF137" s="201">
        <f t="shared" si="13"/>
        <v>0</v>
      </c>
    </row>
    <row r="138" spans="1:58" s="2" customFormat="1" ht="60" outlineLevel="1">
      <c r="A138" s="123" t="s">
        <v>122</v>
      </c>
      <c r="B138" s="12">
        <v>2.4</v>
      </c>
      <c r="C138" s="229" t="s">
        <v>22</v>
      </c>
      <c r="D138" s="158">
        <v>8989</v>
      </c>
      <c r="E138" s="314">
        <f t="shared" si="11"/>
        <v>1620.967213114754</v>
      </c>
      <c r="F138" s="343">
        <v>0.9815</v>
      </c>
      <c r="G138" s="211"/>
      <c r="H138" s="46"/>
      <c r="I138" s="46"/>
      <c r="J138" s="46"/>
      <c r="K138" s="46"/>
      <c r="L138" s="46"/>
      <c r="M138" s="46"/>
      <c r="N138" s="46"/>
      <c r="O138" s="70"/>
      <c r="P138" s="70"/>
      <c r="Q138" s="70"/>
      <c r="R138" s="74"/>
      <c r="S138" s="251" t="s">
        <v>63</v>
      </c>
      <c r="T138" s="96"/>
      <c r="U138" s="96"/>
      <c r="V138" s="83">
        <f>D138*I10</f>
        <v>2696.7</v>
      </c>
      <c r="W138" s="83"/>
      <c r="X138" s="83">
        <f>D138-V138</f>
        <v>6292.3</v>
      </c>
      <c r="Y138" s="70"/>
      <c r="Z138" s="70"/>
      <c r="AA138" s="70"/>
      <c r="AB138" s="70"/>
      <c r="AC138" s="70"/>
      <c r="AD138" s="120"/>
      <c r="AE138" s="73"/>
      <c r="AF138" s="70"/>
      <c r="AG138" s="70"/>
      <c r="AH138" s="70"/>
      <c r="AI138" s="70"/>
      <c r="AJ138" s="70"/>
      <c r="AK138" s="70"/>
      <c r="AL138" s="70"/>
      <c r="AM138" s="70"/>
      <c r="AN138" s="70"/>
      <c r="AO138" s="70"/>
      <c r="AP138" s="74"/>
      <c r="AQ138" s="149"/>
      <c r="AR138" s="70"/>
      <c r="AS138" s="70"/>
      <c r="AT138" s="70"/>
      <c r="AU138" s="70"/>
      <c r="AV138" s="70"/>
      <c r="AW138" s="70"/>
      <c r="AX138" s="75"/>
      <c r="AY138" s="70"/>
      <c r="AZ138" s="70"/>
      <c r="BA138" s="70"/>
      <c r="BB138" s="74"/>
      <c r="BC138" s="138"/>
      <c r="BD138" s="193"/>
      <c r="BE138" s="191">
        <f t="shared" si="12"/>
        <v>8989</v>
      </c>
      <c r="BF138" s="201">
        <f t="shared" si="13"/>
        <v>0</v>
      </c>
    </row>
    <row r="139" spans="1:58" s="2" customFormat="1" ht="24" outlineLevel="1">
      <c r="A139" s="123" t="s">
        <v>122</v>
      </c>
      <c r="B139" s="12">
        <v>2.4</v>
      </c>
      <c r="C139" s="229" t="s">
        <v>23</v>
      </c>
      <c r="D139" s="228">
        <v>40000</v>
      </c>
      <c r="E139" s="314">
        <f t="shared" si="11"/>
        <v>7213.11475409836</v>
      </c>
      <c r="F139" s="346">
        <v>0.9816</v>
      </c>
      <c r="G139" s="73"/>
      <c r="H139" s="70"/>
      <c r="I139" s="70"/>
      <c r="J139" s="70"/>
      <c r="K139" s="70"/>
      <c r="L139" s="70"/>
      <c r="M139" s="81"/>
      <c r="N139" s="81"/>
      <c r="O139" s="81"/>
      <c r="P139" s="81"/>
      <c r="Q139" s="81"/>
      <c r="R139" s="82"/>
      <c r="T139" s="46"/>
      <c r="U139" s="46"/>
      <c r="V139" s="46"/>
      <c r="W139" s="46"/>
      <c r="X139" s="46"/>
      <c r="Z139" s="70"/>
      <c r="AA139" s="70"/>
      <c r="AB139" s="70"/>
      <c r="AC139" s="70"/>
      <c r="AD139" s="120"/>
      <c r="AE139" s="265" t="s">
        <v>63</v>
      </c>
      <c r="AF139" s="97"/>
      <c r="AG139" s="97"/>
      <c r="AH139" s="98">
        <f>D139*I10</f>
        <v>12000</v>
      </c>
      <c r="AI139" s="98"/>
      <c r="AJ139" s="98">
        <f>D139-AH139</f>
        <v>28000</v>
      </c>
      <c r="AK139" s="46"/>
      <c r="AL139" s="70"/>
      <c r="AM139" s="70"/>
      <c r="AN139" s="70"/>
      <c r="AO139" s="70"/>
      <c r="AP139" s="74"/>
      <c r="AQ139" s="149"/>
      <c r="AR139" s="70"/>
      <c r="AS139" s="70"/>
      <c r="AT139" s="70"/>
      <c r="AU139" s="70"/>
      <c r="AV139" s="70"/>
      <c r="AW139" s="70"/>
      <c r="AX139" s="75"/>
      <c r="AY139" s="70"/>
      <c r="AZ139" s="70"/>
      <c r="BA139" s="70"/>
      <c r="BB139" s="74"/>
      <c r="BC139" s="138"/>
      <c r="BD139" s="193"/>
      <c r="BE139" s="191">
        <f t="shared" si="12"/>
        <v>40000</v>
      </c>
      <c r="BF139" s="201">
        <f t="shared" si="13"/>
        <v>0</v>
      </c>
    </row>
    <row r="140" spans="1:58" s="2" customFormat="1" ht="24" outlineLevel="1">
      <c r="A140" s="123" t="s">
        <v>122</v>
      </c>
      <c r="B140" s="12">
        <v>2.4</v>
      </c>
      <c r="C140" s="229" t="s">
        <v>24</v>
      </c>
      <c r="D140" s="158">
        <v>26307</v>
      </c>
      <c r="E140" s="314">
        <f t="shared" si="11"/>
        <v>4743.88524590164</v>
      </c>
      <c r="F140" s="343">
        <v>0.9816</v>
      </c>
      <c r="G140" s="80"/>
      <c r="H140" s="81"/>
      <c r="I140" s="46"/>
      <c r="J140" s="46"/>
      <c r="K140" s="46"/>
      <c r="L140" s="46"/>
      <c r="M140" s="46"/>
      <c r="N140" s="46"/>
      <c r="O140" s="46"/>
      <c r="P140" s="46"/>
      <c r="Q140" s="70"/>
      <c r="R140" s="74"/>
      <c r="S140" s="208" t="s">
        <v>63</v>
      </c>
      <c r="T140" s="97"/>
      <c r="U140" s="97"/>
      <c r="V140" s="66">
        <f>D140*I10</f>
        <v>7892.099999999999</v>
      </c>
      <c r="W140" s="66"/>
      <c r="X140" s="66">
        <f aca="true" t="shared" si="17" ref="X140:X147">D140-V140</f>
        <v>18414.9</v>
      </c>
      <c r="Y140" s="46"/>
      <c r="Z140" s="70"/>
      <c r="AA140" s="70"/>
      <c r="AB140" s="70"/>
      <c r="AC140" s="70"/>
      <c r="AD140" s="120"/>
      <c r="AE140" s="73"/>
      <c r="AF140" s="70"/>
      <c r="AG140" s="70"/>
      <c r="AH140" s="70"/>
      <c r="AI140" s="70"/>
      <c r="AJ140" s="70"/>
      <c r="AK140" s="70"/>
      <c r="AL140" s="70"/>
      <c r="AM140" s="70"/>
      <c r="AN140" s="70"/>
      <c r="AO140" s="70"/>
      <c r="AP140" s="74"/>
      <c r="AQ140" s="149"/>
      <c r="AR140" s="70"/>
      <c r="AS140" s="70"/>
      <c r="AT140" s="70"/>
      <c r="AU140" s="70"/>
      <c r="AV140" s="70"/>
      <c r="AW140" s="70"/>
      <c r="AX140" s="75"/>
      <c r="AY140" s="70"/>
      <c r="AZ140" s="70"/>
      <c r="BA140" s="70"/>
      <c r="BB140" s="74"/>
      <c r="BC140" s="138"/>
      <c r="BD140" s="193"/>
      <c r="BE140" s="191">
        <f t="shared" si="12"/>
        <v>26307</v>
      </c>
      <c r="BF140" s="201">
        <f t="shared" si="13"/>
        <v>0</v>
      </c>
    </row>
    <row r="141" spans="1:58" s="2" customFormat="1" ht="24" outlineLevel="1">
      <c r="A141" s="123" t="s">
        <v>122</v>
      </c>
      <c r="B141" s="12">
        <v>2.4</v>
      </c>
      <c r="C141" s="229" t="s">
        <v>25</v>
      </c>
      <c r="D141" s="158">
        <v>13687</v>
      </c>
      <c r="E141" s="314">
        <f t="shared" si="11"/>
        <v>2468.1475409836066</v>
      </c>
      <c r="F141" s="343">
        <v>0.9816</v>
      </c>
      <c r="G141" s="80"/>
      <c r="H141" s="81"/>
      <c r="I141" s="70"/>
      <c r="J141" s="70"/>
      <c r="K141" s="70"/>
      <c r="L141" s="81"/>
      <c r="M141" s="81"/>
      <c r="N141" s="81"/>
      <c r="O141" s="81"/>
      <c r="P141" s="46"/>
      <c r="Q141" s="81"/>
      <c r="R141" s="82"/>
      <c r="S141" s="208" t="s">
        <v>63</v>
      </c>
      <c r="T141" s="97"/>
      <c r="U141" s="97"/>
      <c r="V141" s="66">
        <f>D141*I10</f>
        <v>4106.099999999999</v>
      </c>
      <c r="W141" s="66"/>
      <c r="X141" s="66">
        <f t="shared" si="17"/>
        <v>9580.900000000001</v>
      </c>
      <c r="Y141" s="46"/>
      <c r="Z141" s="70"/>
      <c r="AA141" s="70"/>
      <c r="AB141" s="70"/>
      <c r="AC141" s="70"/>
      <c r="AD141" s="120"/>
      <c r="AE141" s="73"/>
      <c r="AF141" s="70"/>
      <c r="AG141" s="70"/>
      <c r="AH141" s="70"/>
      <c r="AI141" s="70"/>
      <c r="AJ141" s="70"/>
      <c r="AK141" s="70"/>
      <c r="AL141" s="70"/>
      <c r="AM141" s="70"/>
      <c r="AN141" s="70"/>
      <c r="AO141" s="70"/>
      <c r="AP141" s="74"/>
      <c r="AQ141" s="149"/>
      <c r="AR141" s="70"/>
      <c r="AS141" s="70"/>
      <c r="AT141" s="70"/>
      <c r="AU141" s="70"/>
      <c r="AV141" s="70"/>
      <c r="AW141" s="70"/>
      <c r="AX141" s="75"/>
      <c r="AY141" s="70"/>
      <c r="AZ141" s="70"/>
      <c r="BA141" s="70"/>
      <c r="BB141" s="74"/>
      <c r="BC141" s="138"/>
      <c r="BD141" s="193"/>
      <c r="BE141" s="191">
        <f t="shared" si="12"/>
        <v>13687</v>
      </c>
      <c r="BF141" s="201">
        <f t="shared" si="13"/>
        <v>0</v>
      </c>
    </row>
    <row r="142" spans="1:58" s="2" customFormat="1" ht="48" outlineLevel="1">
      <c r="A142" s="123" t="s">
        <v>122</v>
      </c>
      <c r="B142" s="12">
        <v>2.4</v>
      </c>
      <c r="C142" s="229" t="s">
        <v>26</v>
      </c>
      <c r="D142" s="158">
        <v>19887</v>
      </c>
      <c r="E142" s="314">
        <f t="shared" si="11"/>
        <v>3586.1803278688526</v>
      </c>
      <c r="F142" s="343">
        <v>0.9816</v>
      </c>
      <c r="G142" s="80"/>
      <c r="H142" s="81"/>
      <c r="I142" s="46"/>
      <c r="J142" s="46"/>
      <c r="K142" s="46"/>
      <c r="L142" s="46"/>
      <c r="M142" s="46"/>
      <c r="N142" s="46"/>
      <c r="O142" s="46"/>
      <c r="P142" s="46"/>
      <c r="Q142" s="70"/>
      <c r="R142" s="74"/>
      <c r="S142" s="208" t="s">
        <v>63</v>
      </c>
      <c r="T142" s="97"/>
      <c r="U142" s="97"/>
      <c r="V142" s="66">
        <f>D142*I10</f>
        <v>5966.099999999999</v>
      </c>
      <c r="W142" s="66"/>
      <c r="X142" s="66">
        <f t="shared" si="17"/>
        <v>13920.900000000001</v>
      </c>
      <c r="Y142" s="46"/>
      <c r="Z142" s="70"/>
      <c r="AA142" s="70"/>
      <c r="AB142" s="70"/>
      <c r="AC142" s="70"/>
      <c r="AD142" s="120"/>
      <c r="AE142" s="73"/>
      <c r="AF142" s="70"/>
      <c r="AG142" s="70"/>
      <c r="AH142" s="70"/>
      <c r="AI142" s="70"/>
      <c r="AJ142" s="70"/>
      <c r="AK142" s="70"/>
      <c r="AL142" s="70"/>
      <c r="AM142" s="70"/>
      <c r="AN142" s="70"/>
      <c r="AO142" s="70"/>
      <c r="AP142" s="74"/>
      <c r="AQ142" s="149"/>
      <c r="AR142" s="70"/>
      <c r="AS142" s="70"/>
      <c r="AT142" s="70"/>
      <c r="AU142" s="70"/>
      <c r="AV142" s="70"/>
      <c r="AW142" s="70"/>
      <c r="AX142" s="75"/>
      <c r="AY142" s="70"/>
      <c r="AZ142" s="70"/>
      <c r="BA142" s="70"/>
      <c r="BB142" s="74"/>
      <c r="BC142" s="138"/>
      <c r="BD142" s="193"/>
      <c r="BE142" s="191">
        <f t="shared" si="12"/>
        <v>19887</v>
      </c>
      <c r="BF142" s="201">
        <f t="shared" si="13"/>
        <v>0</v>
      </c>
    </row>
    <row r="143" spans="1:58" s="2" customFormat="1" ht="36" outlineLevel="1">
      <c r="A143" s="123" t="s">
        <v>122</v>
      </c>
      <c r="B143" s="12">
        <v>2.4</v>
      </c>
      <c r="C143" s="229" t="s">
        <v>13</v>
      </c>
      <c r="D143" s="158">
        <v>360</v>
      </c>
      <c r="E143" s="314">
        <f t="shared" si="11"/>
        <v>64.91803278688525</v>
      </c>
      <c r="F143" s="343">
        <v>0.9806</v>
      </c>
      <c r="G143" s="80"/>
      <c r="H143" s="81"/>
      <c r="I143" s="46"/>
      <c r="J143" s="46"/>
      <c r="K143" s="46"/>
      <c r="L143" s="46"/>
      <c r="M143" s="46"/>
      <c r="N143" s="46"/>
      <c r="O143" s="46"/>
      <c r="P143" s="46"/>
      <c r="Q143" s="70"/>
      <c r="R143" s="74"/>
      <c r="S143" s="208" t="s">
        <v>63</v>
      </c>
      <c r="T143" s="97"/>
      <c r="U143" s="97"/>
      <c r="V143" s="66">
        <f>D143*I10</f>
        <v>108</v>
      </c>
      <c r="W143" s="66"/>
      <c r="X143" s="66">
        <f t="shared" si="17"/>
        <v>252</v>
      </c>
      <c r="Y143" s="46"/>
      <c r="Z143" s="70"/>
      <c r="AA143" s="70"/>
      <c r="AB143" s="70"/>
      <c r="AC143" s="70"/>
      <c r="AD143" s="120"/>
      <c r="AE143" s="73"/>
      <c r="AF143" s="70"/>
      <c r="AG143" s="70"/>
      <c r="AH143" s="70"/>
      <c r="AI143" s="70"/>
      <c r="AJ143" s="70"/>
      <c r="AK143" s="70"/>
      <c r="AL143" s="70"/>
      <c r="AM143" s="70"/>
      <c r="AN143" s="70"/>
      <c r="AO143" s="70"/>
      <c r="AP143" s="74"/>
      <c r="AQ143" s="149"/>
      <c r="AR143" s="70"/>
      <c r="AS143" s="70"/>
      <c r="AT143" s="70"/>
      <c r="AU143" s="70"/>
      <c r="AV143" s="70"/>
      <c r="AW143" s="70"/>
      <c r="AX143" s="75"/>
      <c r="AY143" s="70"/>
      <c r="AZ143" s="70"/>
      <c r="BA143" s="70"/>
      <c r="BB143" s="74"/>
      <c r="BC143" s="138"/>
      <c r="BD143" s="193"/>
      <c r="BE143" s="191">
        <f t="shared" si="12"/>
        <v>360</v>
      </c>
      <c r="BF143" s="201">
        <f t="shared" si="13"/>
        <v>0</v>
      </c>
    </row>
    <row r="144" spans="1:58" s="2" customFormat="1" ht="24" outlineLevel="1">
      <c r="A144" s="123" t="s">
        <v>122</v>
      </c>
      <c r="B144" s="12">
        <v>2.4</v>
      </c>
      <c r="C144" s="229" t="s">
        <v>16</v>
      </c>
      <c r="D144" s="158">
        <v>291</v>
      </c>
      <c r="E144" s="314">
        <f t="shared" si="11"/>
        <v>52.47540983606557</v>
      </c>
      <c r="F144" s="343">
        <v>0.9828</v>
      </c>
      <c r="G144" s="80"/>
      <c r="H144" s="81"/>
      <c r="I144" s="46"/>
      <c r="J144" s="46"/>
      <c r="K144" s="46"/>
      <c r="L144" s="46"/>
      <c r="M144" s="46"/>
      <c r="N144" s="46"/>
      <c r="O144" s="46"/>
      <c r="P144" s="46"/>
      <c r="Q144" s="70"/>
      <c r="R144" s="74"/>
      <c r="S144" s="208" t="s">
        <v>63</v>
      </c>
      <c r="T144" s="97"/>
      <c r="U144" s="97"/>
      <c r="V144" s="66">
        <f>D144*I10</f>
        <v>87.3</v>
      </c>
      <c r="W144" s="66"/>
      <c r="X144" s="66">
        <f t="shared" si="17"/>
        <v>203.7</v>
      </c>
      <c r="Y144" s="46"/>
      <c r="Z144" s="70"/>
      <c r="AA144" s="70"/>
      <c r="AB144" s="70"/>
      <c r="AC144" s="70"/>
      <c r="AD144" s="120"/>
      <c r="AE144" s="73"/>
      <c r="AF144" s="70"/>
      <c r="AG144" s="70"/>
      <c r="AH144" s="70"/>
      <c r="AI144" s="70"/>
      <c r="AJ144" s="70"/>
      <c r="AK144" s="70"/>
      <c r="AL144" s="70"/>
      <c r="AM144" s="70"/>
      <c r="AN144" s="70"/>
      <c r="AO144" s="70"/>
      <c r="AP144" s="74"/>
      <c r="AQ144" s="149"/>
      <c r="AR144" s="70"/>
      <c r="AS144" s="70"/>
      <c r="AT144" s="70"/>
      <c r="AU144" s="70"/>
      <c r="AV144" s="70"/>
      <c r="AW144" s="70"/>
      <c r="AX144" s="75"/>
      <c r="AY144" s="70"/>
      <c r="AZ144" s="70"/>
      <c r="BA144" s="70"/>
      <c r="BB144" s="74"/>
      <c r="BC144" s="138"/>
      <c r="BD144" s="193"/>
      <c r="BE144" s="191">
        <f t="shared" si="12"/>
        <v>291</v>
      </c>
      <c r="BF144" s="201">
        <f t="shared" si="13"/>
        <v>0</v>
      </c>
    </row>
    <row r="145" spans="1:58" s="2" customFormat="1" ht="13.5" outlineLevel="1">
      <c r="A145" s="123" t="s">
        <v>122</v>
      </c>
      <c r="B145" s="12">
        <v>2.4</v>
      </c>
      <c r="C145" s="229" t="s">
        <v>17</v>
      </c>
      <c r="D145" s="158">
        <v>351</v>
      </c>
      <c r="E145" s="314">
        <f t="shared" si="11"/>
        <v>63.295081967213115</v>
      </c>
      <c r="F145" s="343">
        <v>0.9829</v>
      </c>
      <c r="G145" s="80"/>
      <c r="H145" s="81"/>
      <c r="I145" s="46"/>
      <c r="J145" s="46"/>
      <c r="K145" s="46"/>
      <c r="L145" s="46"/>
      <c r="M145" s="46"/>
      <c r="N145" s="46"/>
      <c r="O145" s="46"/>
      <c r="P145" s="46"/>
      <c r="Q145" s="70"/>
      <c r="R145" s="74"/>
      <c r="S145" s="208" t="s">
        <v>63</v>
      </c>
      <c r="T145" s="97"/>
      <c r="U145" s="97"/>
      <c r="V145" s="66">
        <f>D145*I10</f>
        <v>105.3</v>
      </c>
      <c r="W145" s="66"/>
      <c r="X145" s="66">
        <f t="shared" si="17"/>
        <v>245.7</v>
      </c>
      <c r="Y145" s="46"/>
      <c r="Z145" s="70"/>
      <c r="AA145" s="70"/>
      <c r="AB145" s="70"/>
      <c r="AC145" s="70"/>
      <c r="AD145" s="120"/>
      <c r="AE145" s="73"/>
      <c r="AF145" s="70"/>
      <c r="AG145" s="70"/>
      <c r="AH145" s="70"/>
      <c r="AI145" s="70"/>
      <c r="AJ145" s="70"/>
      <c r="AK145" s="70"/>
      <c r="AL145" s="70"/>
      <c r="AM145" s="70"/>
      <c r="AN145" s="70"/>
      <c r="AO145" s="70"/>
      <c r="AP145" s="74"/>
      <c r="AQ145" s="149"/>
      <c r="AR145" s="70"/>
      <c r="AS145" s="70"/>
      <c r="AT145" s="70"/>
      <c r="AU145" s="70"/>
      <c r="AV145" s="70"/>
      <c r="AW145" s="70"/>
      <c r="AX145" s="75"/>
      <c r="AY145" s="70"/>
      <c r="AZ145" s="70"/>
      <c r="BA145" s="70"/>
      <c r="BB145" s="74"/>
      <c r="BC145" s="138"/>
      <c r="BD145" s="193"/>
      <c r="BE145" s="191">
        <f t="shared" si="12"/>
        <v>351</v>
      </c>
      <c r="BF145" s="201">
        <f t="shared" si="13"/>
        <v>0</v>
      </c>
    </row>
    <row r="146" spans="1:58" s="2" customFormat="1" ht="24" outlineLevel="1">
      <c r="A146" s="123" t="s">
        <v>122</v>
      </c>
      <c r="B146" s="12">
        <v>2.4</v>
      </c>
      <c r="C146" s="229" t="s">
        <v>18</v>
      </c>
      <c r="D146" s="158">
        <v>4047</v>
      </c>
      <c r="E146" s="314">
        <f t="shared" si="11"/>
        <v>729.7868852459017</v>
      </c>
      <c r="F146" s="343">
        <v>0.9817</v>
      </c>
      <c r="G146" s="80"/>
      <c r="H146" s="81"/>
      <c r="I146" s="46"/>
      <c r="J146" s="46"/>
      <c r="K146" s="46"/>
      <c r="L146" s="46"/>
      <c r="M146" s="46"/>
      <c r="N146" s="46"/>
      <c r="O146" s="46"/>
      <c r="P146" s="46"/>
      <c r="Q146" s="70"/>
      <c r="R146" s="74"/>
      <c r="S146" s="208" t="s">
        <v>63</v>
      </c>
      <c r="T146" s="97"/>
      <c r="U146" s="97"/>
      <c r="V146" s="66">
        <f>D146*I10</f>
        <v>1214.1</v>
      </c>
      <c r="W146" s="66"/>
      <c r="X146" s="66">
        <f t="shared" si="17"/>
        <v>2832.9</v>
      </c>
      <c r="Y146" s="46"/>
      <c r="Z146" s="70"/>
      <c r="AA146" s="70"/>
      <c r="AB146" s="70"/>
      <c r="AC146" s="70"/>
      <c r="AD146" s="120"/>
      <c r="AE146" s="73"/>
      <c r="AF146" s="70"/>
      <c r="AG146" s="70"/>
      <c r="AH146" s="70"/>
      <c r="AI146" s="70"/>
      <c r="AJ146" s="70"/>
      <c r="AK146" s="70"/>
      <c r="AL146" s="70"/>
      <c r="AM146" s="70"/>
      <c r="AN146" s="70"/>
      <c r="AO146" s="70"/>
      <c r="AP146" s="74"/>
      <c r="AQ146" s="149"/>
      <c r="AR146" s="70"/>
      <c r="AS146" s="70"/>
      <c r="AT146" s="70"/>
      <c r="AU146" s="70"/>
      <c r="AV146" s="70"/>
      <c r="AW146" s="70"/>
      <c r="AX146" s="75"/>
      <c r="AY146" s="70"/>
      <c r="AZ146" s="70"/>
      <c r="BA146" s="70"/>
      <c r="BB146" s="74"/>
      <c r="BC146" s="138"/>
      <c r="BD146" s="193"/>
      <c r="BE146" s="191">
        <f t="shared" si="12"/>
        <v>4047</v>
      </c>
      <c r="BF146" s="201">
        <f t="shared" si="13"/>
        <v>0</v>
      </c>
    </row>
    <row r="147" spans="1:58" s="2" customFormat="1" ht="24" outlineLevel="1">
      <c r="A147" s="123" t="s">
        <v>122</v>
      </c>
      <c r="B147" s="12">
        <v>2.4</v>
      </c>
      <c r="C147" s="229" t="s">
        <v>15</v>
      </c>
      <c r="D147" s="158">
        <v>1907</v>
      </c>
      <c r="E147" s="314">
        <f aca="true" t="shared" si="18" ref="E147:E170">22*D147/122</f>
        <v>343.88524590163934</v>
      </c>
      <c r="F147" s="343">
        <v>0.9816</v>
      </c>
      <c r="G147" s="80"/>
      <c r="H147" s="81"/>
      <c r="I147" s="46"/>
      <c r="J147" s="46"/>
      <c r="K147" s="46"/>
      <c r="L147" s="46"/>
      <c r="M147" s="46"/>
      <c r="N147" s="46"/>
      <c r="O147" s="46"/>
      <c r="P147" s="46"/>
      <c r="Q147" s="70"/>
      <c r="R147" s="74"/>
      <c r="S147" s="208" t="s">
        <v>63</v>
      </c>
      <c r="T147" s="97"/>
      <c r="U147" s="97"/>
      <c r="V147" s="66">
        <f>D147*I10</f>
        <v>572.1</v>
      </c>
      <c r="W147" s="66"/>
      <c r="X147" s="66">
        <f t="shared" si="17"/>
        <v>1334.9</v>
      </c>
      <c r="Z147" s="70"/>
      <c r="AA147" s="70"/>
      <c r="AB147" s="70"/>
      <c r="AC147" s="70"/>
      <c r="AD147" s="120"/>
      <c r="AE147" s="73"/>
      <c r="AF147" s="70"/>
      <c r="AG147" s="70"/>
      <c r="AH147" s="70"/>
      <c r="AI147" s="70"/>
      <c r="AJ147" s="70"/>
      <c r="AK147" s="70"/>
      <c r="AL147" s="70"/>
      <c r="AM147" s="70"/>
      <c r="AN147" s="70"/>
      <c r="AO147" s="70"/>
      <c r="AP147" s="74"/>
      <c r="AQ147" s="149"/>
      <c r="AR147" s="70"/>
      <c r="AS147" s="70"/>
      <c r="AT147" s="70"/>
      <c r="AU147" s="70"/>
      <c r="AV147" s="70"/>
      <c r="AW147" s="70"/>
      <c r="AX147" s="75"/>
      <c r="AY147" s="70"/>
      <c r="AZ147" s="70"/>
      <c r="BA147" s="70"/>
      <c r="BB147" s="74"/>
      <c r="BC147" s="138"/>
      <c r="BD147" s="193"/>
      <c r="BE147" s="191">
        <f aca="true" t="shared" si="19" ref="BE147:BE170">SUM(G147:BB147)</f>
        <v>1907</v>
      </c>
      <c r="BF147" s="201">
        <f aca="true" t="shared" si="20" ref="BF147:BF170">BE147-D147</f>
        <v>0</v>
      </c>
    </row>
    <row r="148" spans="1:58" s="2" customFormat="1" ht="13.5" outlineLevel="1">
      <c r="A148" s="123" t="s">
        <v>122</v>
      </c>
      <c r="B148" s="12">
        <v>2.4</v>
      </c>
      <c r="C148" s="229" t="s">
        <v>14</v>
      </c>
      <c r="D148" s="158">
        <v>8054</v>
      </c>
      <c r="E148" s="314">
        <f t="shared" si="18"/>
        <v>1452.360655737705</v>
      </c>
      <c r="F148" s="343">
        <v>0.9816</v>
      </c>
      <c r="G148" s="73"/>
      <c r="H148" s="70"/>
      <c r="I148" s="70"/>
      <c r="J148" s="70"/>
      <c r="K148" s="70"/>
      <c r="L148" s="70"/>
      <c r="M148" s="70"/>
      <c r="N148" s="70"/>
      <c r="O148" s="70"/>
      <c r="P148" s="70"/>
      <c r="Q148" s="70"/>
      <c r="R148" s="74"/>
      <c r="S148" s="149"/>
      <c r="T148" s="70"/>
      <c r="U148" s="70"/>
      <c r="V148" s="70"/>
      <c r="W148" s="70"/>
      <c r="X148" s="70"/>
      <c r="Y148" s="70"/>
      <c r="Z148" s="70"/>
      <c r="AA148" s="70"/>
      <c r="AB148" s="70"/>
      <c r="AC148" s="70"/>
      <c r="AD148" s="120"/>
      <c r="AE148" s="80"/>
      <c r="AF148" s="81"/>
      <c r="AG148" s="81"/>
      <c r="AH148" s="97" t="s">
        <v>63</v>
      </c>
      <c r="AI148" s="97"/>
      <c r="AJ148" s="97"/>
      <c r="AK148" s="98">
        <f>D148*I10</f>
        <v>2416.2</v>
      </c>
      <c r="AL148" s="98"/>
      <c r="AM148" s="98">
        <f>D148-AK148</f>
        <v>5637.8</v>
      </c>
      <c r="AN148" s="46"/>
      <c r="AO148" s="70"/>
      <c r="AP148" s="74"/>
      <c r="AQ148" s="149"/>
      <c r="AR148" s="70"/>
      <c r="AS148" s="70"/>
      <c r="AT148" s="70"/>
      <c r="AU148" s="70"/>
      <c r="AV148" s="70"/>
      <c r="AW148" s="70"/>
      <c r="AX148" s="75"/>
      <c r="AY148" s="70"/>
      <c r="AZ148" s="70"/>
      <c r="BA148" s="70"/>
      <c r="BB148" s="74"/>
      <c r="BC148" s="138"/>
      <c r="BD148" s="193"/>
      <c r="BE148" s="191">
        <f t="shared" si="19"/>
        <v>8054</v>
      </c>
      <c r="BF148" s="201">
        <f t="shared" si="20"/>
        <v>0</v>
      </c>
    </row>
    <row r="149" spans="1:58" s="2" customFormat="1" ht="48" outlineLevel="1">
      <c r="A149" s="123" t="s">
        <v>122</v>
      </c>
      <c r="B149" s="12">
        <v>2.4</v>
      </c>
      <c r="C149" s="229" t="s">
        <v>123</v>
      </c>
      <c r="D149" s="158">
        <v>16554</v>
      </c>
      <c r="E149" s="314">
        <f t="shared" si="18"/>
        <v>2985.1475409836066</v>
      </c>
      <c r="F149" s="343">
        <v>0.9816</v>
      </c>
      <c r="G149" s="73"/>
      <c r="H149" s="70"/>
      <c r="I149" s="70"/>
      <c r="J149" s="70"/>
      <c r="K149" s="70"/>
      <c r="L149" s="70"/>
      <c r="M149" s="70"/>
      <c r="N149" s="70"/>
      <c r="O149" s="70"/>
      <c r="P149" s="70"/>
      <c r="Q149" s="70"/>
      <c r="R149" s="74"/>
      <c r="S149" s="108"/>
      <c r="T149" s="81"/>
      <c r="U149" s="81"/>
      <c r="V149" s="97" t="s">
        <v>63</v>
      </c>
      <c r="W149" s="97"/>
      <c r="X149" s="97"/>
      <c r="Y149" s="98">
        <f>D149*I10</f>
        <v>4966.2</v>
      </c>
      <c r="Z149" s="98"/>
      <c r="AA149" s="98">
        <f>D149-Y149</f>
        <v>11587.8</v>
      </c>
      <c r="AC149" s="70"/>
      <c r="AD149" s="120"/>
      <c r="AE149" s="73"/>
      <c r="AF149" s="70"/>
      <c r="AG149" s="70"/>
      <c r="AH149" s="70"/>
      <c r="AI149" s="70"/>
      <c r="AJ149" s="70"/>
      <c r="AK149" s="99"/>
      <c r="AL149" s="99"/>
      <c r="AM149" s="99"/>
      <c r="AN149" s="99"/>
      <c r="AO149" s="70"/>
      <c r="AP149" s="74"/>
      <c r="AQ149" s="149"/>
      <c r="AR149" s="70"/>
      <c r="AS149" s="70"/>
      <c r="AT149" s="70"/>
      <c r="AU149" s="70"/>
      <c r="AV149" s="70"/>
      <c r="AW149" s="70"/>
      <c r="AX149" s="75"/>
      <c r="AY149" s="70"/>
      <c r="AZ149" s="70"/>
      <c r="BA149" s="70"/>
      <c r="BB149" s="74"/>
      <c r="BC149" s="138"/>
      <c r="BD149" s="193"/>
      <c r="BE149" s="191">
        <f t="shared" si="19"/>
        <v>16554</v>
      </c>
      <c r="BF149" s="201">
        <f t="shared" si="20"/>
        <v>0</v>
      </c>
    </row>
    <row r="150" spans="1:58" s="2" customFormat="1" ht="13.5" outlineLevel="1">
      <c r="A150" s="123" t="s">
        <v>122</v>
      </c>
      <c r="B150" s="12">
        <v>2.4</v>
      </c>
      <c r="C150" s="229" t="s">
        <v>27</v>
      </c>
      <c r="D150" s="158">
        <v>47390</v>
      </c>
      <c r="E150" s="314">
        <f t="shared" si="18"/>
        <v>8545.737704918032</v>
      </c>
      <c r="F150" s="343">
        <v>0.9816</v>
      </c>
      <c r="G150" s="73"/>
      <c r="H150" s="70"/>
      <c r="I150" s="70"/>
      <c r="J150" s="70"/>
      <c r="K150" s="70"/>
      <c r="L150" s="70"/>
      <c r="M150" s="97" t="s">
        <v>63</v>
      </c>
      <c r="N150" s="97"/>
      <c r="O150" s="97"/>
      <c r="P150" s="98">
        <f>D150*I10</f>
        <v>14217</v>
      </c>
      <c r="Q150" s="98"/>
      <c r="R150" s="253">
        <f>D150-P150</f>
        <v>33173</v>
      </c>
      <c r="S150" s="154"/>
      <c r="T150" s="70"/>
      <c r="U150" s="70"/>
      <c r="V150" s="70"/>
      <c r="W150" s="70"/>
      <c r="X150" s="70"/>
      <c r="Y150" s="70"/>
      <c r="Z150" s="70"/>
      <c r="AA150" s="70"/>
      <c r="AB150" s="70"/>
      <c r="AC150" s="70"/>
      <c r="AD150" s="120"/>
      <c r="AE150" s="80"/>
      <c r="AF150" s="81"/>
      <c r="AG150" s="81"/>
      <c r="AH150" s="46"/>
      <c r="AI150" s="46"/>
      <c r="AJ150" s="46"/>
      <c r="AK150" s="46"/>
      <c r="AL150" s="46"/>
      <c r="AM150" s="46"/>
      <c r="AN150" s="46"/>
      <c r="AO150" s="70"/>
      <c r="AP150" s="74"/>
      <c r="AQ150" s="149"/>
      <c r="AR150" s="70"/>
      <c r="AS150" s="70"/>
      <c r="AT150" s="70"/>
      <c r="AU150" s="70"/>
      <c r="AV150" s="70"/>
      <c r="AW150" s="70"/>
      <c r="AX150" s="75"/>
      <c r="AY150" s="70"/>
      <c r="AZ150" s="70"/>
      <c r="BA150" s="70"/>
      <c r="BB150" s="74"/>
      <c r="BC150" s="138"/>
      <c r="BD150" s="193"/>
      <c r="BE150" s="191">
        <f t="shared" si="19"/>
        <v>47390</v>
      </c>
      <c r="BF150" s="201">
        <f t="shared" si="20"/>
        <v>0</v>
      </c>
    </row>
    <row r="151" spans="1:58" s="2" customFormat="1" ht="24" outlineLevel="1">
      <c r="A151" s="123" t="s">
        <v>122</v>
      </c>
      <c r="B151" s="12">
        <v>2.4</v>
      </c>
      <c r="C151" s="229" t="s">
        <v>28</v>
      </c>
      <c r="D151" s="158">
        <v>35187</v>
      </c>
      <c r="E151" s="314">
        <f t="shared" si="18"/>
        <v>6345.196721311476</v>
      </c>
      <c r="F151" s="343">
        <v>0.9816</v>
      </c>
      <c r="G151" s="73"/>
      <c r="H151" s="70"/>
      <c r="I151" s="70"/>
      <c r="J151" s="70"/>
      <c r="K151" s="70"/>
      <c r="L151" s="70"/>
      <c r="M151" s="97" t="s">
        <v>63</v>
      </c>
      <c r="N151" s="97"/>
      <c r="O151" s="97"/>
      <c r="P151" s="98">
        <f>D151*I10</f>
        <v>10556.1</v>
      </c>
      <c r="Q151" s="98"/>
      <c r="R151" s="253">
        <f>D151-P151</f>
        <v>24630.9</v>
      </c>
      <c r="S151" s="154"/>
      <c r="T151" s="70"/>
      <c r="U151" s="70"/>
      <c r="V151" s="70"/>
      <c r="W151" s="70"/>
      <c r="X151" s="70"/>
      <c r="Y151" s="70"/>
      <c r="Z151" s="70"/>
      <c r="AA151" s="70"/>
      <c r="AB151" s="70"/>
      <c r="AC151" s="70"/>
      <c r="AD151" s="120"/>
      <c r="AE151" s="73"/>
      <c r="AF151" s="70"/>
      <c r="AG151" s="70"/>
      <c r="AH151" s="81"/>
      <c r="AI151" s="81"/>
      <c r="AJ151" s="81"/>
      <c r="AK151" s="46"/>
      <c r="AL151" s="46"/>
      <c r="AM151" s="46"/>
      <c r="AN151" s="46"/>
      <c r="AO151" s="46"/>
      <c r="AP151" s="254"/>
      <c r="AQ151" s="154"/>
      <c r="AR151" s="70"/>
      <c r="AS151" s="70"/>
      <c r="AT151" s="70"/>
      <c r="AU151" s="70"/>
      <c r="AV151" s="70"/>
      <c r="AW151" s="70"/>
      <c r="AX151" s="75"/>
      <c r="AY151" s="70"/>
      <c r="AZ151" s="70"/>
      <c r="BA151" s="70"/>
      <c r="BB151" s="74"/>
      <c r="BC151" s="138"/>
      <c r="BD151" s="193"/>
      <c r="BE151" s="191">
        <f t="shared" si="19"/>
        <v>35187</v>
      </c>
      <c r="BF151" s="201">
        <f t="shared" si="20"/>
        <v>0</v>
      </c>
    </row>
    <row r="152" spans="1:58" s="2" customFormat="1" ht="24" outlineLevel="1">
      <c r="A152" s="123" t="s">
        <v>122</v>
      </c>
      <c r="B152" s="12">
        <v>2.4</v>
      </c>
      <c r="C152" s="229" t="s">
        <v>29</v>
      </c>
      <c r="D152" s="158">
        <v>5107</v>
      </c>
      <c r="E152" s="314">
        <f t="shared" si="18"/>
        <v>920.9344262295082</v>
      </c>
      <c r="F152" s="343">
        <v>0.9816</v>
      </c>
      <c r="G152" s="211"/>
      <c r="H152" s="46"/>
      <c r="I152" s="46"/>
      <c r="J152" s="46"/>
      <c r="K152" s="46"/>
      <c r="L152" s="46"/>
      <c r="M152" s="46"/>
      <c r="N152" s="46"/>
      <c r="O152" s="70"/>
      <c r="P152" s="70"/>
      <c r="Q152" s="70"/>
      <c r="R152" s="74"/>
      <c r="S152" s="149"/>
      <c r="T152" s="70"/>
      <c r="U152" s="70"/>
      <c r="V152" s="97" t="s">
        <v>63</v>
      </c>
      <c r="W152" s="97"/>
      <c r="X152" s="97"/>
      <c r="Y152" s="98">
        <f>D152*I10</f>
        <v>1532.1</v>
      </c>
      <c r="Z152" s="98"/>
      <c r="AA152" s="98">
        <f>D152-Y152</f>
        <v>3574.9</v>
      </c>
      <c r="AB152" s="70"/>
      <c r="AC152" s="70"/>
      <c r="AD152" s="120"/>
      <c r="AE152" s="73"/>
      <c r="AF152" s="70"/>
      <c r="AG152" s="70"/>
      <c r="AH152" s="70"/>
      <c r="AI152" s="70"/>
      <c r="AJ152" s="70"/>
      <c r="AK152" s="70"/>
      <c r="AL152" s="70"/>
      <c r="AM152" s="70"/>
      <c r="AN152" s="70"/>
      <c r="AO152" s="70"/>
      <c r="AP152" s="74"/>
      <c r="AQ152" s="149"/>
      <c r="AR152" s="70"/>
      <c r="AS152" s="70"/>
      <c r="AT152" s="70"/>
      <c r="AU152" s="70"/>
      <c r="AV152" s="70"/>
      <c r="AW152" s="70"/>
      <c r="AX152" s="75"/>
      <c r="AY152" s="70"/>
      <c r="AZ152" s="70"/>
      <c r="BA152" s="70"/>
      <c r="BB152" s="74"/>
      <c r="BC152" s="138"/>
      <c r="BD152" s="193"/>
      <c r="BE152" s="191">
        <f t="shared" si="19"/>
        <v>5107</v>
      </c>
      <c r="BF152" s="201">
        <f t="shared" si="20"/>
        <v>0</v>
      </c>
    </row>
    <row r="153" spans="1:58" s="2" customFormat="1" ht="36" outlineLevel="1">
      <c r="A153" s="123" t="s">
        <v>122</v>
      </c>
      <c r="B153" s="12">
        <v>2.4</v>
      </c>
      <c r="C153" s="229" t="s">
        <v>30</v>
      </c>
      <c r="D153" s="228">
        <v>80000</v>
      </c>
      <c r="E153" s="314">
        <f t="shared" si="18"/>
        <v>14426.22950819672</v>
      </c>
      <c r="F153" s="346">
        <v>0.9816</v>
      </c>
      <c r="G153" s="80"/>
      <c r="H153" s="97" t="s">
        <v>63</v>
      </c>
      <c r="I153" s="97"/>
      <c r="J153" s="97"/>
      <c r="K153" s="98">
        <f>D153*I10</f>
        <v>24000</v>
      </c>
      <c r="L153" s="98">
        <f>D153-K153</f>
        <v>56000</v>
      </c>
      <c r="M153" s="46"/>
      <c r="N153" s="46"/>
      <c r="O153" s="46"/>
      <c r="P153" s="46"/>
      <c r="Q153" s="70"/>
      <c r="R153" s="74"/>
      <c r="S153" s="149"/>
      <c r="T153" s="70"/>
      <c r="U153" s="70"/>
      <c r="V153" s="70"/>
      <c r="W153" s="70"/>
      <c r="X153" s="70"/>
      <c r="Y153" s="70"/>
      <c r="Z153" s="70"/>
      <c r="AA153" s="70"/>
      <c r="AB153" s="70"/>
      <c r="AC153" s="70"/>
      <c r="AD153" s="120"/>
      <c r="AE153" s="73"/>
      <c r="AF153" s="70"/>
      <c r="AG153" s="70"/>
      <c r="AH153" s="70"/>
      <c r="AI153" s="70"/>
      <c r="AJ153" s="70"/>
      <c r="AK153" s="70"/>
      <c r="AL153" s="70"/>
      <c r="AM153" s="70"/>
      <c r="AN153" s="70"/>
      <c r="AO153" s="70"/>
      <c r="AP153" s="74"/>
      <c r="AQ153" s="149"/>
      <c r="AR153" s="70"/>
      <c r="AS153" s="70"/>
      <c r="AT153" s="70"/>
      <c r="AU153" s="70"/>
      <c r="AV153" s="70"/>
      <c r="AW153" s="70"/>
      <c r="AX153" s="75"/>
      <c r="AY153" s="70"/>
      <c r="AZ153" s="70"/>
      <c r="BA153" s="70"/>
      <c r="BB153" s="74"/>
      <c r="BC153" s="138"/>
      <c r="BD153" s="193"/>
      <c r="BE153" s="191">
        <f t="shared" si="19"/>
        <v>80000</v>
      </c>
      <c r="BF153" s="201">
        <f t="shared" si="20"/>
        <v>0</v>
      </c>
    </row>
    <row r="154" spans="1:58" s="2" customFormat="1" ht="72" outlineLevel="1">
      <c r="A154" s="123" t="s">
        <v>122</v>
      </c>
      <c r="B154" s="12">
        <v>2.4</v>
      </c>
      <c r="C154" s="230" t="s">
        <v>150</v>
      </c>
      <c r="D154" s="162">
        <v>164865</v>
      </c>
      <c r="E154" s="314">
        <f t="shared" si="18"/>
        <v>29729.754098360656</v>
      </c>
      <c r="F154" s="341">
        <v>0.9816</v>
      </c>
      <c r="G154" s="73"/>
      <c r="H154" s="70"/>
      <c r="I154" s="70"/>
      <c r="J154" s="70"/>
      <c r="K154" s="70"/>
      <c r="L154" s="70"/>
      <c r="M154" s="70"/>
      <c r="N154" s="70"/>
      <c r="O154" s="70"/>
      <c r="P154" s="70"/>
      <c r="Q154" s="70"/>
      <c r="R154" s="74"/>
      <c r="S154" s="108"/>
      <c r="T154" s="81"/>
      <c r="U154" s="81"/>
      <c r="V154" s="81"/>
      <c r="W154" s="81"/>
      <c r="X154" s="81"/>
      <c r="Y154" s="233" t="s">
        <v>63</v>
      </c>
      <c r="Z154" s="233"/>
      <c r="AA154" s="233"/>
      <c r="AB154" s="234">
        <f>D154/2*I10</f>
        <v>24729.75</v>
      </c>
      <c r="AC154" s="234"/>
      <c r="AD154" s="261">
        <f>D154/2-AB154</f>
        <v>57702.75</v>
      </c>
      <c r="AE154" s="211"/>
      <c r="AF154" s="81"/>
      <c r="AG154" s="81"/>
      <c r="AH154" s="81"/>
      <c r="AI154" s="81"/>
      <c r="AJ154" s="81"/>
      <c r="AK154" s="97" t="s">
        <v>63</v>
      </c>
      <c r="AL154" s="97"/>
      <c r="AM154" s="97"/>
      <c r="AN154" s="98">
        <f>D154/2*I10</f>
        <v>24729.75</v>
      </c>
      <c r="AO154" s="98"/>
      <c r="AP154" s="253">
        <f>D154-AB154-AD154-AN154</f>
        <v>57702.75</v>
      </c>
      <c r="AR154" s="70"/>
      <c r="AS154" s="70"/>
      <c r="AT154" s="70"/>
      <c r="AU154" s="70"/>
      <c r="AV154" s="70"/>
      <c r="AW154" s="70"/>
      <c r="AX154" s="75"/>
      <c r="AY154" s="70"/>
      <c r="AZ154" s="70"/>
      <c r="BA154" s="70"/>
      <c r="BB154" s="74"/>
      <c r="BC154" s="138"/>
      <c r="BD154" s="193"/>
      <c r="BE154" s="191">
        <f t="shared" si="19"/>
        <v>164865</v>
      </c>
      <c r="BF154" s="201">
        <f t="shared" si="20"/>
        <v>0</v>
      </c>
    </row>
    <row r="155" spans="1:58" s="2" customFormat="1" ht="108" outlineLevel="1">
      <c r="A155" s="123" t="s">
        <v>122</v>
      </c>
      <c r="B155" s="12">
        <v>2.4</v>
      </c>
      <c r="C155" s="230" t="s">
        <v>31</v>
      </c>
      <c r="D155" s="232">
        <v>90000</v>
      </c>
      <c r="E155" s="314">
        <f t="shared" si="18"/>
        <v>16229.508196721312</v>
      </c>
      <c r="F155" s="344">
        <v>0.9816</v>
      </c>
      <c r="G155" s="73"/>
      <c r="H155" s="97" t="s">
        <v>63</v>
      </c>
      <c r="I155" s="97"/>
      <c r="J155" s="97"/>
      <c r="K155" s="98">
        <f>D155*I10</f>
        <v>27000</v>
      </c>
      <c r="L155" s="98">
        <f>D155-K155</f>
        <v>63000</v>
      </c>
      <c r="M155" s="46"/>
      <c r="N155" s="46"/>
      <c r="O155" s="70"/>
      <c r="P155" s="70"/>
      <c r="Q155" s="70"/>
      <c r="R155" s="74"/>
      <c r="S155" s="108"/>
      <c r="T155" s="81"/>
      <c r="U155" s="81"/>
      <c r="V155" s="81"/>
      <c r="W155" s="81"/>
      <c r="X155" s="81"/>
      <c r="Y155" s="46"/>
      <c r="Z155" s="46"/>
      <c r="AA155" s="46"/>
      <c r="AB155" s="46"/>
      <c r="AC155" s="46"/>
      <c r="AD155" s="139"/>
      <c r="AE155" s="211"/>
      <c r="AF155" s="70"/>
      <c r="AG155" s="70"/>
      <c r="AH155" s="70"/>
      <c r="AI155" s="70"/>
      <c r="AJ155" s="70"/>
      <c r="AK155" s="70"/>
      <c r="AL155" s="70"/>
      <c r="AM155" s="70"/>
      <c r="AN155" s="70"/>
      <c r="AO155" s="70"/>
      <c r="AP155" s="74"/>
      <c r="AQ155" s="149"/>
      <c r="AR155" s="70"/>
      <c r="AS155" s="70"/>
      <c r="AT155" s="70"/>
      <c r="AU155" s="70"/>
      <c r="AV155" s="70"/>
      <c r="AW155" s="70"/>
      <c r="AX155" s="75"/>
      <c r="AY155" s="70"/>
      <c r="AZ155" s="70"/>
      <c r="BA155" s="70"/>
      <c r="BB155" s="74"/>
      <c r="BC155" s="138"/>
      <c r="BD155" s="193"/>
      <c r="BE155" s="191">
        <f t="shared" si="19"/>
        <v>90000</v>
      </c>
      <c r="BF155" s="201">
        <f t="shared" si="20"/>
        <v>0</v>
      </c>
    </row>
    <row r="156" spans="1:58" s="2" customFormat="1" ht="13.5" outlineLevel="1">
      <c r="A156" s="123" t="s">
        <v>122</v>
      </c>
      <c r="B156" s="12">
        <v>3.3</v>
      </c>
      <c r="C156" s="229" t="s">
        <v>32</v>
      </c>
      <c r="D156" s="156">
        <v>21776</v>
      </c>
      <c r="E156" s="314">
        <f t="shared" si="18"/>
        <v>3926.8196721311474</v>
      </c>
      <c r="F156" s="341">
        <v>0.9816</v>
      </c>
      <c r="G156" s="211"/>
      <c r="H156" s="46"/>
      <c r="I156" s="46"/>
      <c r="J156" s="46"/>
      <c r="K156" s="46"/>
      <c r="L156" s="46"/>
      <c r="M156" s="46"/>
      <c r="N156" s="46"/>
      <c r="O156" s="70"/>
      <c r="P156" s="70"/>
      <c r="Q156" s="70"/>
      <c r="R156" s="74"/>
      <c r="S156" s="208" t="s">
        <v>63</v>
      </c>
      <c r="T156" s="97"/>
      <c r="U156" s="97"/>
      <c r="V156" s="98">
        <f>D156*I10</f>
        <v>6532.8</v>
      </c>
      <c r="W156" s="98"/>
      <c r="X156" s="98">
        <f>D156-V156</f>
        <v>15243.2</v>
      </c>
      <c r="Z156" s="70"/>
      <c r="AA156" s="70"/>
      <c r="AB156" s="70"/>
      <c r="AC156" s="70"/>
      <c r="AD156" s="120"/>
      <c r="AE156" s="73"/>
      <c r="AF156" s="70"/>
      <c r="AG156" s="70"/>
      <c r="AH156" s="70"/>
      <c r="AI156" s="70"/>
      <c r="AJ156" s="70"/>
      <c r="AK156" s="70"/>
      <c r="AL156" s="70"/>
      <c r="AM156" s="70"/>
      <c r="AN156" s="70"/>
      <c r="AO156" s="70"/>
      <c r="AP156" s="74"/>
      <c r="AQ156" s="149"/>
      <c r="AR156" s="70"/>
      <c r="AS156" s="70"/>
      <c r="AT156" s="70"/>
      <c r="AU156" s="70"/>
      <c r="AV156" s="70"/>
      <c r="AW156" s="70"/>
      <c r="AX156" s="75"/>
      <c r="AY156" s="70"/>
      <c r="AZ156" s="70"/>
      <c r="BA156" s="70"/>
      <c r="BB156" s="74"/>
      <c r="BC156" s="138"/>
      <c r="BD156" s="193"/>
      <c r="BE156" s="191">
        <f t="shared" si="19"/>
        <v>21776</v>
      </c>
      <c r="BF156" s="201">
        <f t="shared" si="20"/>
        <v>0</v>
      </c>
    </row>
    <row r="157" spans="1:58" s="2" customFormat="1" ht="60" outlineLevel="1">
      <c r="A157" s="123" t="s">
        <v>122</v>
      </c>
      <c r="B157" s="12">
        <v>2.4</v>
      </c>
      <c r="C157" s="229" t="s">
        <v>33</v>
      </c>
      <c r="D157" s="156">
        <v>63728</v>
      </c>
      <c r="E157" s="314">
        <f t="shared" si="18"/>
        <v>11491.934426229509</v>
      </c>
      <c r="F157" s="341">
        <v>0.9816</v>
      </c>
      <c r="G157" s="73"/>
      <c r="H157" s="70"/>
      <c r="I157" s="70"/>
      <c r="J157" s="70"/>
      <c r="K157" s="70"/>
      <c r="L157" s="70"/>
      <c r="M157" s="70"/>
      <c r="N157" s="70"/>
      <c r="O157" s="70"/>
      <c r="P157" s="70"/>
      <c r="Q157" s="70"/>
      <c r="R157" s="74"/>
      <c r="S157" s="149"/>
      <c r="T157" s="70"/>
      <c r="U157" s="70"/>
      <c r="V157" s="70"/>
      <c r="W157" s="70"/>
      <c r="X157" s="70"/>
      <c r="Y157" s="97" t="s">
        <v>63</v>
      </c>
      <c r="Z157" s="97"/>
      <c r="AA157" s="97"/>
      <c r="AB157" s="98">
        <f>D157*I10</f>
        <v>19118.399999999998</v>
      </c>
      <c r="AC157" s="155"/>
      <c r="AD157" s="141">
        <f>D157-AB157</f>
        <v>44609.600000000006</v>
      </c>
      <c r="AE157" s="211"/>
      <c r="AF157" s="70"/>
      <c r="AG157" s="70"/>
      <c r="AH157" s="70"/>
      <c r="AI157" s="70"/>
      <c r="AJ157" s="70"/>
      <c r="AK157" s="70"/>
      <c r="AL157" s="70"/>
      <c r="AM157" s="46"/>
      <c r="AN157" s="46"/>
      <c r="AO157" s="46"/>
      <c r="AP157" s="254"/>
      <c r="AQ157" s="154"/>
      <c r="AR157" s="46"/>
      <c r="AS157" s="46"/>
      <c r="AT157" s="46"/>
      <c r="AU157" s="46"/>
      <c r="AV157" s="46"/>
      <c r="AW157" s="46"/>
      <c r="AX157" s="75"/>
      <c r="AY157" s="70"/>
      <c r="AZ157" s="70"/>
      <c r="BA157" s="70"/>
      <c r="BB157" s="74"/>
      <c r="BC157" s="138"/>
      <c r="BD157" s="193"/>
      <c r="BE157" s="191">
        <f t="shared" si="19"/>
        <v>63728</v>
      </c>
      <c r="BF157" s="201">
        <f t="shared" si="20"/>
        <v>0</v>
      </c>
    </row>
    <row r="158" spans="1:58" s="2" customFormat="1" ht="132" outlineLevel="1">
      <c r="A158" s="123" t="s">
        <v>122</v>
      </c>
      <c r="B158" s="12">
        <v>2.4</v>
      </c>
      <c r="C158" s="230" t="s">
        <v>115</v>
      </c>
      <c r="D158" s="162">
        <v>213703</v>
      </c>
      <c r="E158" s="314">
        <f t="shared" si="18"/>
        <v>38536.60655737705</v>
      </c>
      <c r="F158" s="341">
        <v>0.9816</v>
      </c>
      <c r="G158" s="211"/>
      <c r="H158" s="97" t="s">
        <v>63</v>
      </c>
      <c r="I158" s="97"/>
      <c r="J158" s="97"/>
      <c r="K158" s="393">
        <f>54200*I10</f>
        <v>16260</v>
      </c>
      <c r="L158" s="393">
        <f>54200-K158</f>
        <v>37940</v>
      </c>
      <c r="M158" s="236"/>
      <c r="N158" s="46"/>
      <c r="O158" s="70"/>
      <c r="P158" s="70"/>
      <c r="Q158" s="70"/>
      <c r="R158" s="74"/>
      <c r="S158" s="208" t="s">
        <v>63</v>
      </c>
      <c r="T158" s="97"/>
      <c r="U158" s="97"/>
      <c r="V158" s="393">
        <f>79752*I10</f>
        <v>23925.6</v>
      </c>
      <c r="W158" s="100"/>
      <c r="X158" s="393">
        <f>79752-V158</f>
        <v>55826.4</v>
      </c>
      <c r="Y158" s="70"/>
      <c r="Z158" s="70"/>
      <c r="AA158" s="70"/>
      <c r="AB158" s="70"/>
      <c r="AC158" s="70"/>
      <c r="AD158" s="120"/>
      <c r="AE158" s="265" t="s">
        <v>63</v>
      </c>
      <c r="AF158" s="97"/>
      <c r="AG158" s="97"/>
      <c r="AH158" s="100">
        <f>(D158-K158-L158-V158-X158)*I10</f>
        <v>23925.3</v>
      </c>
      <c r="AI158" s="100"/>
      <c r="AJ158" s="66">
        <f>D158-K158-L158-V158-X158-AH158</f>
        <v>55825.7</v>
      </c>
      <c r="AK158" s="70"/>
      <c r="AL158" s="70"/>
      <c r="AM158" s="70"/>
      <c r="AN158" s="70"/>
      <c r="AO158" s="70"/>
      <c r="AP158" s="74"/>
      <c r="AQ158" s="149"/>
      <c r="AR158" s="70"/>
      <c r="AS158" s="70"/>
      <c r="AT158" s="70"/>
      <c r="AU158" s="70"/>
      <c r="AV158" s="70"/>
      <c r="AW158" s="70"/>
      <c r="AX158" s="75"/>
      <c r="AY158" s="70"/>
      <c r="AZ158" s="70"/>
      <c r="BA158" s="70"/>
      <c r="BB158" s="74"/>
      <c r="BC158" s="138"/>
      <c r="BD158" s="193"/>
      <c r="BE158" s="191">
        <f t="shared" si="19"/>
        <v>213703</v>
      </c>
      <c r="BF158" s="201">
        <f t="shared" si="20"/>
        <v>0</v>
      </c>
    </row>
    <row r="159" spans="1:58" s="2" customFormat="1" ht="36" outlineLevel="1">
      <c r="A159" s="123" t="s">
        <v>122</v>
      </c>
      <c r="B159" s="12">
        <v>2.4</v>
      </c>
      <c r="C159" s="229" t="s">
        <v>34</v>
      </c>
      <c r="D159" s="156">
        <v>64427</v>
      </c>
      <c r="E159" s="314">
        <f t="shared" si="18"/>
        <v>11617.983606557376</v>
      </c>
      <c r="F159" s="341">
        <v>0.9816</v>
      </c>
      <c r="G159" s="80"/>
      <c r="H159" s="97" t="s">
        <v>63</v>
      </c>
      <c r="I159" s="97"/>
      <c r="J159" s="97"/>
      <c r="K159" s="66">
        <f>D159*I10</f>
        <v>19328.1</v>
      </c>
      <c r="L159" s="66">
        <f>D159-K159</f>
        <v>45098.9</v>
      </c>
      <c r="M159" s="59"/>
      <c r="N159" s="63"/>
      <c r="O159" s="46"/>
      <c r="P159" s="46"/>
      <c r="Q159" s="70"/>
      <c r="R159" s="74"/>
      <c r="S159" s="149"/>
      <c r="T159" s="70"/>
      <c r="U159" s="70"/>
      <c r="V159" s="70"/>
      <c r="W159" s="70"/>
      <c r="X159" s="70"/>
      <c r="Y159" s="70"/>
      <c r="Z159" s="70"/>
      <c r="AA159" s="70"/>
      <c r="AB159" s="70"/>
      <c r="AC159" s="70"/>
      <c r="AD159" s="120"/>
      <c r="AE159" s="73"/>
      <c r="AF159" s="70"/>
      <c r="AG159" s="70"/>
      <c r="AH159" s="70"/>
      <c r="AI159" s="70"/>
      <c r="AJ159" s="70"/>
      <c r="AK159" s="70"/>
      <c r="AL159" s="70"/>
      <c r="AM159" s="70"/>
      <c r="AN159" s="70"/>
      <c r="AO159" s="70"/>
      <c r="AP159" s="74"/>
      <c r="AQ159" s="149"/>
      <c r="AR159" s="70"/>
      <c r="AS159" s="70"/>
      <c r="AT159" s="70"/>
      <c r="AU159" s="70"/>
      <c r="AV159" s="70"/>
      <c r="AW159" s="70"/>
      <c r="AX159" s="75"/>
      <c r="AY159" s="70"/>
      <c r="AZ159" s="70"/>
      <c r="BA159" s="70"/>
      <c r="BB159" s="74"/>
      <c r="BC159" s="138"/>
      <c r="BD159" s="193"/>
      <c r="BE159" s="191">
        <f t="shared" si="19"/>
        <v>64427</v>
      </c>
      <c r="BF159" s="201">
        <f t="shared" si="20"/>
        <v>0</v>
      </c>
    </row>
    <row r="160" spans="1:58" s="2" customFormat="1" ht="13.5" outlineLevel="1">
      <c r="A160" s="123" t="s">
        <v>122</v>
      </c>
      <c r="B160" s="12">
        <v>2.4</v>
      </c>
      <c r="C160" s="229" t="s">
        <v>19</v>
      </c>
      <c r="D160" s="156">
        <v>52760</v>
      </c>
      <c r="E160" s="314">
        <f t="shared" si="18"/>
        <v>9514.098360655738</v>
      </c>
      <c r="F160" s="341">
        <v>0.9816</v>
      </c>
      <c r="G160" s="73"/>
      <c r="H160" s="70"/>
      <c r="I160" s="70"/>
      <c r="J160" s="70"/>
      <c r="K160" s="70"/>
      <c r="L160" s="70"/>
      <c r="M160" s="70"/>
      <c r="N160" s="70"/>
      <c r="O160" s="70"/>
      <c r="P160" s="70"/>
      <c r="Q160" s="70"/>
      <c r="R160" s="74"/>
      <c r="S160" s="108"/>
      <c r="T160" s="81"/>
      <c r="U160" s="81"/>
      <c r="V160" s="97" t="s">
        <v>63</v>
      </c>
      <c r="W160" s="97"/>
      <c r="X160" s="97"/>
      <c r="Y160" s="98">
        <f>D160*I10</f>
        <v>15828</v>
      </c>
      <c r="Z160" s="98"/>
      <c r="AA160" s="98">
        <f>D160-Y160</f>
        <v>36932</v>
      </c>
      <c r="AB160" s="70"/>
      <c r="AC160" s="70"/>
      <c r="AD160" s="120"/>
      <c r="AE160" s="73"/>
      <c r="AF160" s="70"/>
      <c r="AG160" s="70"/>
      <c r="AH160" s="70"/>
      <c r="AI160" s="70"/>
      <c r="AJ160" s="70"/>
      <c r="AK160" s="70"/>
      <c r="AL160" s="70"/>
      <c r="AM160" s="70"/>
      <c r="AN160" s="70"/>
      <c r="AO160" s="70"/>
      <c r="AP160" s="74"/>
      <c r="AQ160" s="149"/>
      <c r="AR160" s="70"/>
      <c r="AS160" s="70"/>
      <c r="AT160" s="70"/>
      <c r="AU160" s="70"/>
      <c r="AV160" s="70"/>
      <c r="AW160" s="70"/>
      <c r="AX160" s="75"/>
      <c r="AY160" s="70"/>
      <c r="AZ160" s="70"/>
      <c r="BA160" s="70"/>
      <c r="BB160" s="74"/>
      <c r="BC160" s="138"/>
      <c r="BD160" s="193"/>
      <c r="BE160" s="191">
        <f t="shared" si="19"/>
        <v>52760</v>
      </c>
      <c r="BF160" s="201">
        <f t="shared" si="20"/>
        <v>0</v>
      </c>
    </row>
    <row r="161" spans="1:58" s="2" customFormat="1" ht="24" outlineLevel="1">
      <c r="A161" s="123" t="s">
        <v>122</v>
      </c>
      <c r="B161" s="12">
        <v>2.4</v>
      </c>
      <c r="C161" s="229" t="s">
        <v>20</v>
      </c>
      <c r="D161" s="156">
        <v>36243</v>
      </c>
      <c r="E161" s="314">
        <f t="shared" si="18"/>
        <v>6535.622950819672</v>
      </c>
      <c r="F161" s="341">
        <v>0.9816</v>
      </c>
      <c r="G161" s="73"/>
      <c r="H161" s="70"/>
      <c r="I161" s="70"/>
      <c r="J161" s="70"/>
      <c r="K161" s="70"/>
      <c r="L161" s="70"/>
      <c r="M161" s="70"/>
      <c r="N161" s="70"/>
      <c r="O161" s="70"/>
      <c r="P161" s="70"/>
      <c r="Q161" s="70"/>
      <c r="R161" s="74"/>
      <c r="S161" s="108"/>
      <c r="T161" s="81"/>
      <c r="U161" s="81"/>
      <c r="V161" s="97" t="s">
        <v>63</v>
      </c>
      <c r="W161" s="97"/>
      <c r="X161" s="97"/>
      <c r="Y161" s="98">
        <f>D161*I10</f>
        <v>10872.9</v>
      </c>
      <c r="Z161" s="98"/>
      <c r="AA161" s="98">
        <f>D161-Y161</f>
        <v>25370.1</v>
      </c>
      <c r="AB161" s="70"/>
      <c r="AC161" s="70"/>
      <c r="AD161" s="120"/>
      <c r="AE161" s="73"/>
      <c r="AF161" s="70"/>
      <c r="AG161" s="70"/>
      <c r="AH161" s="70"/>
      <c r="AI161" s="70"/>
      <c r="AJ161" s="70"/>
      <c r="AK161" s="70"/>
      <c r="AL161" s="70"/>
      <c r="AM161" s="70"/>
      <c r="AN161" s="70"/>
      <c r="AO161" s="70"/>
      <c r="AP161" s="74"/>
      <c r="AQ161" s="149"/>
      <c r="AR161" s="70"/>
      <c r="AS161" s="70"/>
      <c r="AT161" s="70"/>
      <c r="AU161" s="70"/>
      <c r="AV161" s="70"/>
      <c r="AW161" s="70"/>
      <c r="AX161" s="75"/>
      <c r="AY161" s="70"/>
      <c r="AZ161" s="70"/>
      <c r="BA161" s="70"/>
      <c r="BB161" s="74"/>
      <c r="BC161" s="138"/>
      <c r="BD161" s="193"/>
      <c r="BE161" s="191">
        <f t="shared" si="19"/>
        <v>36243</v>
      </c>
      <c r="BF161" s="201">
        <f t="shared" si="20"/>
        <v>0</v>
      </c>
    </row>
    <row r="162" spans="1:58" s="2" customFormat="1" ht="36" outlineLevel="1">
      <c r="A162" s="123" t="s">
        <v>122</v>
      </c>
      <c r="B162" s="12">
        <v>2.4</v>
      </c>
      <c r="C162" s="229" t="s">
        <v>184</v>
      </c>
      <c r="D162" s="237">
        <v>37000</v>
      </c>
      <c r="E162" s="314">
        <f t="shared" si="18"/>
        <v>6672.131147540984</v>
      </c>
      <c r="F162" s="344">
        <v>0.9816</v>
      </c>
      <c r="G162" s="211"/>
      <c r="H162" s="97" t="s">
        <v>63</v>
      </c>
      <c r="I162" s="97"/>
      <c r="J162" s="97"/>
      <c r="K162" s="98">
        <f>D162*I10</f>
        <v>11100</v>
      </c>
      <c r="L162" s="98">
        <f>D162-K162</f>
        <v>25900</v>
      </c>
      <c r="M162" s="81"/>
      <c r="N162" s="46"/>
      <c r="O162" s="70"/>
      <c r="P162" s="70"/>
      <c r="Q162" s="70"/>
      <c r="R162" s="74"/>
      <c r="S162" s="149"/>
      <c r="T162" s="70"/>
      <c r="U162" s="70"/>
      <c r="V162" s="70"/>
      <c r="W162" s="70"/>
      <c r="X162" s="70"/>
      <c r="Y162" s="70"/>
      <c r="Z162" s="70"/>
      <c r="AA162" s="70"/>
      <c r="AB162" s="70"/>
      <c r="AC162" s="70"/>
      <c r="AD162" s="120"/>
      <c r="AE162" s="73"/>
      <c r="AF162" s="70"/>
      <c r="AG162" s="70"/>
      <c r="AH162" s="70"/>
      <c r="AI162" s="70"/>
      <c r="AJ162" s="70"/>
      <c r="AK162" s="70"/>
      <c r="AL162" s="70"/>
      <c r="AM162" s="70"/>
      <c r="AN162" s="70"/>
      <c r="AO162" s="70"/>
      <c r="AP162" s="74"/>
      <c r="AQ162" s="149"/>
      <c r="AR162" s="70"/>
      <c r="AS162" s="70"/>
      <c r="AT162" s="70"/>
      <c r="AU162" s="70"/>
      <c r="AV162" s="70"/>
      <c r="AW162" s="70"/>
      <c r="AX162" s="75"/>
      <c r="AY162" s="70"/>
      <c r="AZ162" s="70"/>
      <c r="BA162" s="70"/>
      <c r="BB162" s="74"/>
      <c r="BC162" s="138"/>
      <c r="BD162" s="193"/>
      <c r="BE162" s="191">
        <f t="shared" si="19"/>
        <v>37000</v>
      </c>
      <c r="BF162" s="201">
        <f t="shared" si="20"/>
        <v>0</v>
      </c>
    </row>
    <row r="163" spans="1:58" s="2" customFormat="1" ht="24" outlineLevel="1">
      <c r="A163" s="123" t="s">
        <v>122</v>
      </c>
      <c r="B163" s="12">
        <v>2.4</v>
      </c>
      <c r="C163" s="229" t="s">
        <v>35</v>
      </c>
      <c r="D163" s="237">
        <v>18800</v>
      </c>
      <c r="E163" s="314">
        <f t="shared" si="18"/>
        <v>3390.1639344262294</v>
      </c>
      <c r="F163" s="344">
        <v>0.9816</v>
      </c>
      <c r="G163" s="73"/>
      <c r="H163" s="97" t="s">
        <v>63</v>
      </c>
      <c r="I163" s="97"/>
      <c r="J163" s="97"/>
      <c r="K163" s="98">
        <f>D163*I10</f>
        <v>5640</v>
      </c>
      <c r="L163" s="98">
        <f>D163-K163</f>
        <v>13160</v>
      </c>
      <c r="M163" s="81"/>
      <c r="N163" s="46"/>
      <c r="O163" s="81"/>
      <c r="P163" s="46"/>
      <c r="Q163" s="46"/>
      <c r="R163" s="254"/>
      <c r="S163" s="154"/>
      <c r="T163" s="46"/>
      <c r="U163" s="46"/>
      <c r="W163" s="70"/>
      <c r="X163" s="70"/>
      <c r="Y163" s="70"/>
      <c r="Z163" s="70"/>
      <c r="AA163" s="70"/>
      <c r="AB163" s="70"/>
      <c r="AC163" s="70"/>
      <c r="AD163" s="120"/>
      <c r="AE163" s="73"/>
      <c r="AF163" s="70"/>
      <c r="AG163" s="70"/>
      <c r="AH163" s="70"/>
      <c r="AI163" s="70"/>
      <c r="AJ163" s="70"/>
      <c r="AK163" s="70"/>
      <c r="AL163" s="70"/>
      <c r="AM163" s="70"/>
      <c r="AN163" s="70"/>
      <c r="AO163" s="70"/>
      <c r="AP163" s="74"/>
      <c r="AQ163" s="149"/>
      <c r="AR163" s="70"/>
      <c r="AS163" s="70"/>
      <c r="AT163" s="70"/>
      <c r="AU163" s="70"/>
      <c r="AV163" s="70"/>
      <c r="AW163" s="70"/>
      <c r="AX163" s="75"/>
      <c r="AY163" s="70"/>
      <c r="AZ163" s="70"/>
      <c r="BA163" s="70"/>
      <c r="BB163" s="74"/>
      <c r="BC163" s="138"/>
      <c r="BD163" s="193"/>
      <c r="BE163" s="191">
        <f t="shared" si="19"/>
        <v>18800</v>
      </c>
      <c r="BF163" s="201">
        <f t="shared" si="20"/>
        <v>0</v>
      </c>
    </row>
    <row r="164" spans="1:58" s="2" customFormat="1" ht="36" outlineLevel="1">
      <c r="A164" s="123" t="s">
        <v>122</v>
      </c>
      <c r="B164" s="12">
        <v>2.4</v>
      </c>
      <c r="C164" s="229" t="s">
        <v>36</v>
      </c>
      <c r="D164" s="237">
        <v>6400</v>
      </c>
      <c r="E164" s="314">
        <f t="shared" si="18"/>
        <v>1154.0983606557377</v>
      </c>
      <c r="F164" s="344">
        <v>0.9816</v>
      </c>
      <c r="G164" s="73"/>
      <c r="H164" s="97" t="s">
        <v>63</v>
      </c>
      <c r="I164" s="97"/>
      <c r="J164" s="97"/>
      <c r="K164" s="98">
        <f>D164*I10</f>
        <v>1920</v>
      </c>
      <c r="L164" s="98">
        <f>D164-K164</f>
        <v>4480</v>
      </c>
      <c r="M164" s="81"/>
      <c r="N164" s="46"/>
      <c r="O164" s="70"/>
      <c r="P164" s="70"/>
      <c r="Q164" s="70"/>
      <c r="R164" s="74"/>
      <c r="S164" s="149"/>
      <c r="T164" s="70"/>
      <c r="U164" s="70"/>
      <c r="V164" s="70"/>
      <c r="W164" s="70"/>
      <c r="X164" s="70"/>
      <c r="Y164" s="81"/>
      <c r="Z164" s="81"/>
      <c r="AA164" s="81"/>
      <c r="AB164" s="46"/>
      <c r="AC164" s="46"/>
      <c r="AD164" s="139"/>
      <c r="AE164" s="211"/>
      <c r="AF164" s="46"/>
      <c r="AG164" s="46"/>
      <c r="AH164" s="46"/>
      <c r="AI164" s="70"/>
      <c r="AJ164" s="70"/>
      <c r="AK164" s="70"/>
      <c r="AL164" s="70"/>
      <c r="AM164" s="70"/>
      <c r="AN164" s="70"/>
      <c r="AO164" s="70"/>
      <c r="AP164" s="74"/>
      <c r="AQ164" s="149"/>
      <c r="AR164" s="70"/>
      <c r="AS164" s="70"/>
      <c r="AT164" s="70"/>
      <c r="AU164" s="70"/>
      <c r="AV164" s="70"/>
      <c r="AW164" s="70"/>
      <c r="AX164" s="75"/>
      <c r="AY164" s="70"/>
      <c r="AZ164" s="70"/>
      <c r="BA164" s="70"/>
      <c r="BB164" s="74"/>
      <c r="BC164" s="138"/>
      <c r="BD164" s="193"/>
      <c r="BE164" s="191">
        <f t="shared" si="19"/>
        <v>6400</v>
      </c>
      <c r="BF164" s="201">
        <f t="shared" si="20"/>
        <v>0</v>
      </c>
    </row>
    <row r="165" spans="1:58" s="2" customFormat="1" ht="24" outlineLevel="1">
      <c r="A165" s="123" t="s">
        <v>122</v>
      </c>
      <c r="B165" s="12">
        <v>2.4</v>
      </c>
      <c r="C165" s="229" t="s">
        <v>37</v>
      </c>
      <c r="D165" s="237">
        <v>8000</v>
      </c>
      <c r="E165" s="314">
        <f t="shared" si="18"/>
        <v>1442.622950819672</v>
      </c>
      <c r="F165" s="344">
        <v>0.9816</v>
      </c>
      <c r="G165" s="73"/>
      <c r="H165" s="70"/>
      <c r="I165" s="70"/>
      <c r="J165" s="70"/>
      <c r="K165" s="70"/>
      <c r="L165" s="70"/>
      <c r="M165" s="97" t="s">
        <v>63</v>
      </c>
      <c r="N165" s="97"/>
      <c r="O165" s="97"/>
      <c r="P165" s="98">
        <f>D165*I10</f>
        <v>2400</v>
      </c>
      <c r="Q165" s="98"/>
      <c r="R165" s="253">
        <f>D165-P165</f>
        <v>5600</v>
      </c>
      <c r="S165" s="154"/>
      <c r="T165" s="70"/>
      <c r="U165" s="70"/>
      <c r="V165" s="70"/>
      <c r="W165" s="70"/>
      <c r="X165" s="70"/>
      <c r="Y165" s="70"/>
      <c r="Z165" s="70"/>
      <c r="AA165" s="70"/>
      <c r="AB165" s="70"/>
      <c r="AC165" s="70"/>
      <c r="AD165" s="120"/>
      <c r="AE165" s="73"/>
      <c r="AF165" s="70"/>
      <c r="AG165" s="70"/>
      <c r="AH165" s="81"/>
      <c r="AI165" s="81"/>
      <c r="AJ165" s="81"/>
      <c r="AK165" s="46"/>
      <c r="AL165" s="46"/>
      <c r="AM165" s="46"/>
      <c r="AN165" s="46"/>
      <c r="AO165" s="46"/>
      <c r="AP165" s="254"/>
      <c r="AQ165" s="154"/>
      <c r="AR165" s="70"/>
      <c r="AS165" s="70"/>
      <c r="AT165" s="70"/>
      <c r="AU165" s="70"/>
      <c r="AV165" s="70"/>
      <c r="AW165" s="70"/>
      <c r="AX165" s="75"/>
      <c r="AY165" s="70"/>
      <c r="AZ165" s="70"/>
      <c r="BA165" s="70"/>
      <c r="BB165" s="74"/>
      <c r="BC165" s="138"/>
      <c r="BD165" s="193"/>
      <c r="BE165" s="191">
        <f t="shared" si="19"/>
        <v>8000</v>
      </c>
      <c r="BF165" s="201">
        <f t="shared" si="20"/>
        <v>0</v>
      </c>
    </row>
    <row r="166" spans="1:58" s="2" customFormat="1" ht="13.5" outlineLevel="1">
      <c r="A166" s="123" t="s">
        <v>122</v>
      </c>
      <c r="B166" s="12">
        <v>2.4</v>
      </c>
      <c r="C166" s="229" t="s">
        <v>38</v>
      </c>
      <c r="D166" s="237">
        <v>2100</v>
      </c>
      <c r="E166" s="314">
        <f t="shared" si="18"/>
        <v>378.6885245901639</v>
      </c>
      <c r="F166" s="344">
        <v>0.9816</v>
      </c>
      <c r="G166" s="73"/>
      <c r="H166" s="70"/>
      <c r="I166" s="70"/>
      <c r="J166" s="70"/>
      <c r="K166" s="70"/>
      <c r="L166" s="70"/>
      <c r="M166" s="97" t="s">
        <v>63</v>
      </c>
      <c r="N166" s="97"/>
      <c r="O166" s="97"/>
      <c r="P166" s="98">
        <f>D166*I10</f>
        <v>630</v>
      </c>
      <c r="Q166" s="98"/>
      <c r="R166" s="253">
        <f>D166-P166</f>
        <v>1470</v>
      </c>
      <c r="S166" s="154"/>
      <c r="T166" s="70"/>
      <c r="U166" s="70"/>
      <c r="V166" s="70"/>
      <c r="W166" s="70"/>
      <c r="X166" s="70"/>
      <c r="Y166" s="70"/>
      <c r="Z166" s="70"/>
      <c r="AA166" s="70"/>
      <c r="AB166" s="70"/>
      <c r="AC166" s="70"/>
      <c r="AD166" s="120"/>
      <c r="AE166" s="73"/>
      <c r="AF166" s="70"/>
      <c r="AG166" s="70"/>
      <c r="AH166" s="81"/>
      <c r="AI166" s="81"/>
      <c r="AJ166" s="81"/>
      <c r="AK166" s="46"/>
      <c r="AL166" s="46"/>
      <c r="AM166" s="46"/>
      <c r="AN166" s="46"/>
      <c r="AO166" s="46"/>
      <c r="AP166" s="254"/>
      <c r="AQ166" s="154"/>
      <c r="AR166" s="70"/>
      <c r="AS166" s="70"/>
      <c r="AT166" s="70"/>
      <c r="AU166" s="70"/>
      <c r="AV166" s="70"/>
      <c r="AW166" s="70"/>
      <c r="AX166" s="75"/>
      <c r="AY166" s="70"/>
      <c r="AZ166" s="70"/>
      <c r="BA166" s="70"/>
      <c r="BB166" s="74"/>
      <c r="BC166" s="138"/>
      <c r="BD166" s="193"/>
      <c r="BE166" s="191">
        <f t="shared" si="19"/>
        <v>2100</v>
      </c>
      <c r="BF166" s="201">
        <f t="shared" si="20"/>
        <v>0</v>
      </c>
    </row>
    <row r="167" spans="1:58" s="2" customFormat="1" ht="13.5" outlineLevel="1">
      <c r="A167" s="123" t="s">
        <v>122</v>
      </c>
      <c r="B167" s="12">
        <v>2.4</v>
      </c>
      <c r="C167" s="229" t="s">
        <v>39</v>
      </c>
      <c r="D167" s="237">
        <v>4000</v>
      </c>
      <c r="E167" s="314">
        <f t="shared" si="18"/>
        <v>721.311475409836</v>
      </c>
      <c r="F167" s="344">
        <v>0.9821</v>
      </c>
      <c r="G167" s="73"/>
      <c r="H167" s="70"/>
      <c r="I167" s="70"/>
      <c r="J167" s="70"/>
      <c r="K167" s="70"/>
      <c r="L167" s="70"/>
      <c r="M167" s="97" t="s">
        <v>63</v>
      </c>
      <c r="N167" s="97"/>
      <c r="O167" s="97"/>
      <c r="P167" s="98">
        <f>D167*I10</f>
        <v>1200</v>
      </c>
      <c r="Q167" s="98"/>
      <c r="R167" s="253">
        <f>D167-P167</f>
        <v>2800</v>
      </c>
      <c r="S167" s="154"/>
      <c r="T167" s="70"/>
      <c r="U167" s="70"/>
      <c r="V167" s="70"/>
      <c r="W167" s="70"/>
      <c r="X167" s="70"/>
      <c r="Y167" s="70"/>
      <c r="Z167" s="70"/>
      <c r="AA167" s="70"/>
      <c r="AB167" s="70"/>
      <c r="AC167" s="70"/>
      <c r="AD167" s="120"/>
      <c r="AE167" s="73"/>
      <c r="AF167" s="70"/>
      <c r="AG167" s="70"/>
      <c r="AH167" s="81"/>
      <c r="AI167" s="81"/>
      <c r="AJ167" s="81"/>
      <c r="AK167" s="46"/>
      <c r="AL167" s="46"/>
      <c r="AM167" s="46"/>
      <c r="AN167" s="46"/>
      <c r="AO167" s="46"/>
      <c r="AP167" s="254"/>
      <c r="AQ167" s="154"/>
      <c r="AR167" s="70"/>
      <c r="AS167" s="70"/>
      <c r="AT167" s="70"/>
      <c r="AU167" s="70"/>
      <c r="AV167" s="70"/>
      <c r="AW167" s="70"/>
      <c r="AX167" s="75"/>
      <c r="AY167" s="70"/>
      <c r="AZ167" s="70"/>
      <c r="BA167" s="70"/>
      <c r="BB167" s="74"/>
      <c r="BC167" s="138"/>
      <c r="BD167" s="193"/>
      <c r="BE167" s="191">
        <f t="shared" si="19"/>
        <v>4000</v>
      </c>
      <c r="BF167" s="201">
        <f t="shared" si="20"/>
        <v>0</v>
      </c>
    </row>
    <row r="168" spans="1:58" s="2" customFormat="1" ht="48" outlineLevel="1">
      <c r="A168" s="123" t="s">
        <v>122</v>
      </c>
      <c r="B168" s="12">
        <v>2.4</v>
      </c>
      <c r="C168" s="229" t="s">
        <v>40</v>
      </c>
      <c r="D168" s="237">
        <v>34000</v>
      </c>
      <c r="E168" s="314">
        <f t="shared" si="18"/>
        <v>6131.147540983607</v>
      </c>
      <c r="F168" s="344">
        <v>0.9815</v>
      </c>
      <c r="G168" s="73"/>
      <c r="H168" s="97" t="s">
        <v>63</v>
      </c>
      <c r="I168" s="97"/>
      <c r="J168" s="97"/>
      <c r="K168" s="98">
        <f>D168*I10</f>
        <v>10200</v>
      </c>
      <c r="L168" s="98">
        <f>D168-K168</f>
        <v>23800</v>
      </c>
      <c r="M168" s="81"/>
      <c r="N168" s="46"/>
      <c r="O168" s="70"/>
      <c r="P168" s="70"/>
      <c r="Q168" s="70"/>
      <c r="R168" s="74"/>
      <c r="S168" s="149"/>
      <c r="T168" s="70"/>
      <c r="U168" s="70"/>
      <c r="V168" s="70"/>
      <c r="W168" s="70"/>
      <c r="X168" s="70"/>
      <c r="Y168" s="70"/>
      <c r="Z168" s="70"/>
      <c r="AA168" s="70"/>
      <c r="AB168" s="70"/>
      <c r="AC168" s="70"/>
      <c r="AD168" s="120"/>
      <c r="AE168" s="73"/>
      <c r="AF168" s="70"/>
      <c r="AG168" s="70"/>
      <c r="AH168" s="81"/>
      <c r="AI168" s="81"/>
      <c r="AJ168" s="81"/>
      <c r="AK168" s="46"/>
      <c r="AL168" s="46"/>
      <c r="AM168" s="46"/>
      <c r="AN168" s="46"/>
      <c r="AO168" s="46"/>
      <c r="AP168" s="254"/>
      <c r="AQ168" s="154"/>
      <c r="AR168" s="70"/>
      <c r="AS168" s="70"/>
      <c r="AT168" s="70"/>
      <c r="AU168" s="70"/>
      <c r="AV168" s="70"/>
      <c r="AW168" s="70"/>
      <c r="AX168" s="75"/>
      <c r="AY168" s="70"/>
      <c r="AZ168" s="70"/>
      <c r="BA168" s="70"/>
      <c r="BB168" s="74"/>
      <c r="BC168" s="138"/>
      <c r="BD168" s="193"/>
      <c r="BE168" s="191">
        <f t="shared" si="19"/>
        <v>34000</v>
      </c>
      <c r="BF168" s="201">
        <f t="shared" si="20"/>
        <v>0</v>
      </c>
    </row>
    <row r="169" spans="1:58" s="2" customFormat="1" ht="24" outlineLevel="1">
      <c r="A169" s="123" t="s">
        <v>122</v>
      </c>
      <c r="B169" s="12">
        <v>2.4</v>
      </c>
      <c r="C169" s="229" t="s">
        <v>42</v>
      </c>
      <c r="D169" s="156">
        <v>35859</v>
      </c>
      <c r="E169" s="314">
        <f t="shared" si="18"/>
        <v>6466.377049180328</v>
      </c>
      <c r="F169" s="341">
        <v>0.9816</v>
      </c>
      <c r="G169" s="211"/>
      <c r="H169" s="81"/>
      <c r="I169" s="81"/>
      <c r="J169" s="81"/>
      <c r="K169" s="81"/>
      <c r="L169" s="81"/>
      <c r="M169" s="81"/>
      <c r="N169" s="81"/>
      <c r="O169" s="81"/>
      <c r="P169" s="46"/>
      <c r="Q169" s="46"/>
      <c r="R169" s="254"/>
      <c r="S169" s="208" t="s">
        <v>63</v>
      </c>
      <c r="T169" s="97"/>
      <c r="U169" s="392"/>
      <c r="V169" s="98">
        <f>D169/2*I10</f>
        <v>5378.849999999999</v>
      </c>
      <c r="W169" s="98"/>
      <c r="X169" s="98">
        <f>D169/2-V169</f>
        <v>12550.650000000001</v>
      </c>
      <c r="Z169" s="235"/>
      <c r="AA169" s="235"/>
      <c r="AB169" s="235"/>
      <c r="AC169" s="235"/>
      <c r="AD169" s="262"/>
      <c r="AE169" s="265"/>
      <c r="AF169" s="97"/>
      <c r="AG169" s="97"/>
      <c r="AH169" s="98">
        <f>D169/2*I10</f>
        <v>5378.849999999999</v>
      </c>
      <c r="AI169" s="98"/>
      <c r="AJ169" s="98">
        <f>D169-V169-X169-AH169</f>
        <v>12550.650000000001</v>
      </c>
      <c r="AK169" s="81"/>
      <c r="AL169" s="70"/>
      <c r="AM169" s="46"/>
      <c r="AN169" s="46"/>
      <c r="AO169" s="46"/>
      <c r="AP169" s="254"/>
      <c r="AQ169" s="154"/>
      <c r="AR169" s="46"/>
      <c r="AS169" s="46"/>
      <c r="AT169" s="46"/>
      <c r="AU169" s="46"/>
      <c r="AV169" s="46"/>
      <c r="AW169" s="46"/>
      <c r="AX169" s="75"/>
      <c r="AY169" s="81"/>
      <c r="AZ169" s="46"/>
      <c r="BA169" s="70"/>
      <c r="BB169" s="74"/>
      <c r="BC169" s="138"/>
      <c r="BD169" s="193"/>
      <c r="BE169" s="191">
        <f t="shared" si="19"/>
        <v>35859</v>
      </c>
      <c r="BF169" s="201">
        <f t="shared" si="20"/>
        <v>0</v>
      </c>
    </row>
    <row r="170" spans="1:58" s="2" customFormat="1" ht="24.75" outlineLevel="1" thickBot="1">
      <c r="A170" s="123" t="s">
        <v>122</v>
      </c>
      <c r="B170" s="12">
        <v>2.4</v>
      </c>
      <c r="C170" s="231" t="s">
        <v>41</v>
      </c>
      <c r="D170" s="245">
        <v>24500</v>
      </c>
      <c r="E170" s="314">
        <f t="shared" si="18"/>
        <v>4418.0327868852455</v>
      </c>
      <c r="F170" s="347">
        <v>0.9816</v>
      </c>
      <c r="G170" s="359"/>
      <c r="H170" s="104" t="s">
        <v>63</v>
      </c>
      <c r="I170" s="104"/>
      <c r="J170" s="104"/>
      <c r="K170" s="105">
        <f>D170*I10</f>
        <v>7350</v>
      </c>
      <c r="L170" s="105">
        <f>D170-K170</f>
        <v>17150</v>
      </c>
      <c r="M170" s="255"/>
      <c r="N170" s="255"/>
      <c r="O170" s="102"/>
      <c r="P170" s="102"/>
      <c r="Q170" s="102"/>
      <c r="R170" s="103"/>
      <c r="S170" s="161"/>
      <c r="T170" s="102"/>
      <c r="U170" s="102"/>
      <c r="V170" s="119"/>
      <c r="W170" s="119"/>
      <c r="X170" s="119"/>
      <c r="Y170" s="46"/>
      <c r="Z170" s="46"/>
      <c r="AA170" s="46"/>
      <c r="AB170" s="46"/>
      <c r="AC170" s="46"/>
      <c r="AD170" s="139"/>
      <c r="AE170" s="266"/>
      <c r="AF170" s="102"/>
      <c r="AG170" s="102"/>
      <c r="AH170" s="102"/>
      <c r="AI170" s="102"/>
      <c r="AJ170" s="102"/>
      <c r="AK170" s="102"/>
      <c r="AL170" s="102"/>
      <c r="AM170" s="102"/>
      <c r="AN170" s="102"/>
      <c r="AO170" s="102"/>
      <c r="AP170" s="103"/>
      <c r="AQ170" s="161"/>
      <c r="AR170" s="102"/>
      <c r="AS170" s="102"/>
      <c r="AT170" s="102"/>
      <c r="AU170" s="102"/>
      <c r="AV170" s="102"/>
      <c r="AW170" s="102"/>
      <c r="AX170" s="106"/>
      <c r="AY170" s="102"/>
      <c r="AZ170" s="102"/>
      <c r="BA170" s="102"/>
      <c r="BB170" s="103"/>
      <c r="BC170" s="138"/>
      <c r="BD170" s="193"/>
      <c r="BE170" s="191">
        <f t="shared" si="19"/>
        <v>24500</v>
      </c>
      <c r="BF170" s="201">
        <f t="shared" si="20"/>
        <v>0</v>
      </c>
    </row>
    <row r="171" spans="1:57" s="2" customFormat="1" ht="13.5" outlineLevel="1">
      <c r="A171" s="238"/>
      <c r="B171" s="239"/>
      <c r="C171" s="246"/>
      <c r="D171" s="240">
        <f>SUM(D16:D170)</f>
        <v>8243401</v>
      </c>
      <c r="E171" s="310"/>
      <c r="F171" s="321"/>
      <c r="G171" s="243"/>
      <c r="H171" s="243"/>
      <c r="I171" s="243"/>
      <c r="J171" s="243"/>
      <c r="K171" s="243"/>
      <c r="L171" s="243"/>
      <c r="M171" s="247"/>
      <c r="N171" s="242"/>
      <c r="O171" s="241"/>
      <c r="P171" s="241"/>
      <c r="Q171" s="241"/>
      <c r="R171" s="241"/>
      <c r="S171" s="241"/>
      <c r="T171" s="241"/>
      <c r="U171" s="241"/>
      <c r="V171" s="243"/>
      <c r="W171" s="243"/>
      <c r="X171" s="243"/>
      <c r="AF171" s="241"/>
      <c r="AG171" s="241"/>
      <c r="AH171" s="241"/>
      <c r="AI171" s="241"/>
      <c r="AJ171" s="241"/>
      <c r="AK171" s="241"/>
      <c r="AL171" s="241"/>
      <c r="AM171" s="241"/>
      <c r="AN171" s="241"/>
      <c r="AO171" s="241"/>
      <c r="AP171" s="241"/>
      <c r="AQ171" s="241"/>
      <c r="AR171" s="241"/>
      <c r="AS171" s="241"/>
      <c r="AT171" s="241"/>
      <c r="AU171" s="241"/>
      <c r="AV171" s="241"/>
      <c r="AW171" s="241"/>
      <c r="AX171" s="244"/>
      <c r="AY171" s="241"/>
      <c r="AZ171" s="241"/>
      <c r="BA171" s="241"/>
      <c r="BB171" s="241"/>
      <c r="BC171" s="138"/>
      <c r="BD171" s="193"/>
      <c r="BE171" s="201"/>
    </row>
    <row r="172" spans="3:50" ht="14.25">
      <c r="C172" s="248"/>
      <c r="F172" s="327">
        <f>SUM(D132:D170)</f>
        <v>1325469</v>
      </c>
      <c r="G172" s="45"/>
      <c r="H172" s="45"/>
      <c r="I172" s="326">
        <f>SUM(H132:L170)</f>
        <v>473792</v>
      </c>
      <c r="J172" s="45"/>
      <c r="K172" s="13" t="s">
        <v>187</v>
      </c>
      <c r="L172" s="59" t="s">
        <v>188</v>
      </c>
      <c r="M172" s="45"/>
      <c r="AW172" s="45"/>
      <c r="AX172" s="45"/>
    </row>
    <row r="173" spans="1:50" ht="15.75">
      <c r="A173" s="24"/>
      <c r="C173" s="34" t="s">
        <v>107</v>
      </c>
      <c r="D173" s="26">
        <f>SUM(D18:D100)</f>
        <v>4322982</v>
      </c>
      <c r="E173" s="311"/>
      <c r="F173" s="322"/>
      <c r="H173" s="18">
        <f>I172/F172</f>
        <v>0.3574523432837735</v>
      </c>
      <c r="J173" s="267">
        <v>0.4</v>
      </c>
      <c r="K173" s="43">
        <f>D173*0.4</f>
        <v>1729192.8</v>
      </c>
      <c r="L173" s="43">
        <f>SUM(G18:L100)</f>
        <v>947404.3</v>
      </c>
      <c r="AW173" s="45"/>
      <c r="AX173" s="45"/>
    </row>
    <row r="174" spans="1:50" ht="15.75">
      <c r="A174" s="24"/>
      <c r="C174" s="34" t="s">
        <v>116</v>
      </c>
      <c r="D174" s="26">
        <f>SUM(D102:D123)</f>
        <v>1670267</v>
      </c>
      <c r="E174" s="311"/>
      <c r="F174" s="322"/>
      <c r="K174" s="43">
        <f>D174*0.4</f>
        <v>668106.8</v>
      </c>
      <c r="L174" s="43">
        <f>SUM(G102:L123)</f>
        <v>315504.2</v>
      </c>
      <c r="AW174" s="45"/>
      <c r="AX174" s="45"/>
    </row>
    <row r="175" spans="1:50" ht="15.75">
      <c r="A175" s="24"/>
      <c r="C175" s="34" t="s">
        <v>120</v>
      </c>
      <c r="D175" s="26">
        <f>SUM(D125:D130)</f>
        <v>423674</v>
      </c>
      <c r="E175" s="311"/>
      <c r="F175" s="322"/>
      <c r="K175" s="43">
        <f>D175*0.4</f>
        <v>169469.6</v>
      </c>
      <c r="L175" s="43">
        <f>SUM(G125:L130)</f>
        <v>91565.7</v>
      </c>
      <c r="AW175" s="45"/>
      <c r="AX175" s="45"/>
    </row>
    <row r="176" spans="1:50" ht="16.5" thickBot="1">
      <c r="A176" s="24"/>
      <c r="C176" s="35" t="s">
        <v>122</v>
      </c>
      <c r="D176" s="27">
        <f>SUM(D132:D170)</f>
        <v>1325469</v>
      </c>
      <c r="E176" s="311"/>
      <c r="F176" s="322"/>
      <c r="K176" s="43">
        <f>D176*0.4</f>
        <v>530187.6</v>
      </c>
      <c r="L176" s="43">
        <f>SUM(G132:L170)</f>
        <v>473792</v>
      </c>
      <c r="AW176" s="45"/>
      <c r="AX176" s="45"/>
    </row>
    <row r="177" spans="3:50" ht="15" thickBot="1">
      <c r="C177" s="36" t="s">
        <v>104</v>
      </c>
      <c r="D177" s="28">
        <f>SUM(D173:D176)</f>
        <v>7742392</v>
      </c>
      <c r="E177" s="312"/>
      <c r="F177" s="323"/>
      <c r="AW177" s="45"/>
      <c r="AX177" s="45"/>
    </row>
    <row r="178" spans="49:50" ht="14.25">
      <c r="AW178" s="45"/>
      <c r="AX178" s="45"/>
    </row>
    <row r="179" spans="3:50" ht="14.25">
      <c r="C179" s="182"/>
      <c r="AW179" s="45"/>
      <c r="AX179" s="45"/>
    </row>
    <row r="180" spans="49:50" ht="14.25">
      <c r="AW180" s="45"/>
      <c r="AX180" s="45"/>
    </row>
    <row r="181" spans="49:50" ht="14.25">
      <c r="AW181" s="45"/>
      <c r="AX181" s="45"/>
    </row>
    <row r="182" spans="3:50" ht="14.25">
      <c r="C182" s="39" t="s">
        <v>163</v>
      </c>
      <c r="D182" s="25">
        <v>470201</v>
      </c>
      <c r="AW182" s="45"/>
      <c r="AX182" s="45"/>
    </row>
    <row r="183" spans="4:50" ht="14.25">
      <c r="D183" s="25">
        <v>30808</v>
      </c>
      <c r="AW183" s="45"/>
      <c r="AX183" s="45"/>
    </row>
    <row r="184" spans="3:50" ht="14.25">
      <c r="C184" s="40" t="s">
        <v>164</v>
      </c>
      <c r="D184" s="41">
        <f>SUM(D182:D183)</f>
        <v>501009</v>
      </c>
      <c r="E184" s="311"/>
      <c r="F184" s="322"/>
      <c r="AW184" s="45"/>
      <c r="AX184" s="45"/>
    </row>
    <row r="185" spans="49:50" ht="14.25">
      <c r="AW185" s="45"/>
      <c r="AX185" s="45"/>
    </row>
    <row r="186" spans="3:50" ht="14.25">
      <c r="C186" s="183"/>
      <c r="D186" s="167"/>
      <c r="E186" s="311"/>
      <c r="F186" s="322"/>
      <c r="AW186" s="45"/>
      <c r="AX186" s="45"/>
    </row>
    <row r="187" spans="3:50" ht="14.25">
      <c r="C187" s="164" t="s">
        <v>174</v>
      </c>
      <c r="D187" s="167"/>
      <c r="E187" s="311"/>
      <c r="F187" s="322"/>
      <c r="AW187" s="45"/>
      <c r="AX187" s="45"/>
    </row>
    <row r="188" spans="3:50" ht="14.25">
      <c r="C188" s="165" t="s">
        <v>175</v>
      </c>
      <c r="D188" s="184"/>
      <c r="E188" s="313"/>
      <c r="F188" s="324"/>
      <c r="AW188" s="45"/>
      <c r="AX188" s="45"/>
    </row>
    <row r="189" spans="3:50" ht="14.25">
      <c r="C189" s="166" t="s">
        <v>176</v>
      </c>
      <c r="D189" s="184"/>
      <c r="E189" s="313"/>
      <c r="F189" s="324"/>
      <c r="AW189" s="45"/>
      <c r="AX189" s="45"/>
    </row>
    <row r="190" spans="3:50" ht="14.25">
      <c r="C190" s="181" t="s">
        <v>177</v>
      </c>
      <c r="D190" s="167"/>
      <c r="E190" s="311"/>
      <c r="F190" s="322"/>
      <c r="AW190" s="45"/>
      <c r="AX190" s="45"/>
    </row>
    <row r="191" spans="3:50" ht="14.25">
      <c r="C191" s="183"/>
      <c r="D191" s="167"/>
      <c r="E191" s="311"/>
      <c r="F191" s="322"/>
      <c r="AW191" s="45"/>
      <c r="AX191" s="45"/>
    </row>
    <row r="192" spans="1:50" ht="14.25">
      <c r="A192" s="203"/>
      <c r="B192" s="272"/>
      <c r="C192" s="185"/>
      <c r="D192" s="186"/>
      <c r="E192" s="311"/>
      <c r="F192" s="322"/>
      <c r="AW192" s="45"/>
      <c r="AX192" s="45"/>
    </row>
    <row r="193" ht="14.25">
      <c r="AX193" s="45"/>
    </row>
    <row r="194" ht="14.25">
      <c r="AX194" s="45"/>
    </row>
    <row r="195" ht="14.25">
      <c r="AX195" s="45"/>
    </row>
    <row r="196" ht="14.25">
      <c r="AX196" s="45"/>
    </row>
    <row r="197" ht="14.25">
      <c r="AX197" s="45"/>
    </row>
    <row r="198" ht="14.25">
      <c r="AX198" s="45"/>
    </row>
    <row r="199" ht="14.25">
      <c r="AX199" s="45"/>
    </row>
    <row r="200" ht="14.25">
      <c r="AX200" s="45"/>
    </row>
    <row r="201" ht="14.25">
      <c r="AX201" s="45"/>
    </row>
    <row r="202" ht="14.25">
      <c r="AX202" s="45"/>
    </row>
    <row r="203" ht="14.25">
      <c r="AX203" s="45"/>
    </row>
    <row r="204" ht="14.25">
      <c r="AX204" s="45"/>
    </row>
    <row r="205" ht="14.25">
      <c r="AX205" s="45"/>
    </row>
    <row r="206" ht="14.25">
      <c r="AX206" s="45"/>
    </row>
    <row r="207" ht="14.25">
      <c r="AX207" s="45"/>
    </row>
    <row r="208" ht="14.25">
      <c r="AX208" s="45"/>
    </row>
    <row r="209" ht="14.25">
      <c r="AX209" s="45"/>
    </row>
    <row r="210" ht="14.25">
      <c r="AX210" s="45"/>
    </row>
    <row r="211" ht="14.25">
      <c r="AX211" s="45"/>
    </row>
    <row r="212" ht="14.25">
      <c r="AX212" s="45"/>
    </row>
    <row r="213" ht="14.25">
      <c r="AX213" s="45"/>
    </row>
    <row r="214" ht="14.25">
      <c r="AX214" s="45"/>
    </row>
    <row r="215" ht="14.25">
      <c r="AX215" s="45"/>
    </row>
    <row r="216" ht="14.25">
      <c r="AX216" s="45"/>
    </row>
    <row r="217" ht="14.25">
      <c r="AX217" s="45"/>
    </row>
    <row r="218" ht="14.25">
      <c r="AX218" s="45"/>
    </row>
    <row r="219" ht="14.25">
      <c r="AX219" s="45"/>
    </row>
    <row r="220" ht="14.25">
      <c r="AX220" s="45"/>
    </row>
    <row r="221" ht="14.25">
      <c r="AX221" s="45"/>
    </row>
    <row r="222" ht="14.25">
      <c r="AX222" s="45"/>
    </row>
    <row r="223" ht="14.25">
      <c r="AX223" s="45"/>
    </row>
    <row r="224" ht="14.25">
      <c r="AX224" s="45"/>
    </row>
    <row r="225" ht="14.25">
      <c r="AX225" s="45"/>
    </row>
    <row r="226" ht="14.25">
      <c r="AX226" s="45"/>
    </row>
    <row r="227" ht="14.25">
      <c r="AX227" s="45"/>
    </row>
    <row r="228" ht="14.25">
      <c r="AX228" s="45"/>
    </row>
    <row r="229" ht="14.25">
      <c r="AX229" s="45"/>
    </row>
    <row r="230" ht="14.25">
      <c r="AX230" s="45"/>
    </row>
    <row r="231" ht="14.25">
      <c r="AX231" s="45"/>
    </row>
    <row r="232" ht="14.25">
      <c r="AX232" s="45"/>
    </row>
    <row r="233" ht="14.25">
      <c r="AX233" s="45"/>
    </row>
    <row r="234" ht="14.25">
      <c r="AX234" s="45"/>
    </row>
    <row r="235" ht="14.25">
      <c r="AX235" s="45"/>
    </row>
    <row r="236" ht="14.25">
      <c r="AX236" s="45"/>
    </row>
    <row r="237" ht="14.25">
      <c r="AX237" s="45"/>
    </row>
    <row r="238" ht="14.25">
      <c r="AX238" s="45"/>
    </row>
    <row r="239" ht="14.25">
      <c r="AX239" s="45"/>
    </row>
    <row r="240" ht="14.25">
      <c r="AX240" s="45"/>
    </row>
    <row r="241" ht="14.25">
      <c r="AX241" s="45"/>
    </row>
    <row r="242" ht="14.25">
      <c r="AX242" s="45"/>
    </row>
    <row r="243" ht="14.25">
      <c r="AX243" s="45"/>
    </row>
    <row r="244" ht="14.25">
      <c r="AX244" s="45"/>
    </row>
    <row r="245" ht="14.25">
      <c r="AX245" s="45"/>
    </row>
    <row r="246" ht="14.25">
      <c r="AX246" s="45"/>
    </row>
    <row r="247" ht="14.25">
      <c r="AX247" s="45"/>
    </row>
    <row r="248" ht="14.25">
      <c r="AX248" s="45"/>
    </row>
    <row r="249" ht="14.25">
      <c r="AX249" s="45"/>
    </row>
    <row r="250" ht="14.25">
      <c r="AX250" s="45"/>
    </row>
    <row r="251" ht="14.25">
      <c r="AX251" s="45"/>
    </row>
    <row r="252" ht="14.25">
      <c r="AX252" s="45"/>
    </row>
    <row r="253" ht="14.25">
      <c r="AX253" s="45"/>
    </row>
    <row r="254" ht="14.25">
      <c r="AX254" s="45"/>
    </row>
    <row r="255" ht="14.25">
      <c r="AX255" s="45"/>
    </row>
    <row r="256" ht="14.25">
      <c r="AX256" s="45"/>
    </row>
    <row r="257" ht="14.25">
      <c r="AX257" s="45"/>
    </row>
    <row r="258" ht="14.25">
      <c r="AX258" s="45"/>
    </row>
    <row r="259" ht="14.25">
      <c r="AX259" s="45"/>
    </row>
    <row r="260" ht="14.25">
      <c r="AX260" s="45"/>
    </row>
    <row r="261" ht="14.25">
      <c r="AX261" s="45"/>
    </row>
    <row r="262" ht="14.25">
      <c r="AX262" s="45"/>
    </row>
    <row r="263" ht="14.25">
      <c r="AX263" s="45"/>
    </row>
    <row r="264" ht="14.25">
      <c r="AX264" s="45"/>
    </row>
    <row r="265" ht="14.25">
      <c r="AX265" s="45"/>
    </row>
    <row r="266" ht="14.25">
      <c r="AX266" s="45"/>
    </row>
    <row r="267" ht="14.25">
      <c r="AX267" s="45"/>
    </row>
    <row r="268" ht="14.25">
      <c r="AX268" s="45"/>
    </row>
    <row r="269" ht="14.25">
      <c r="AX269" s="45"/>
    </row>
    <row r="270" ht="14.25">
      <c r="AX270" s="45"/>
    </row>
    <row r="271" ht="14.25">
      <c r="AX271" s="45"/>
    </row>
    <row r="272" ht="14.25">
      <c r="AX272" s="45"/>
    </row>
    <row r="273" ht="14.25">
      <c r="AX273" s="45"/>
    </row>
    <row r="274" ht="14.25">
      <c r="AX274" s="45"/>
    </row>
    <row r="275" ht="14.25">
      <c r="AX275" s="45"/>
    </row>
    <row r="276" ht="14.25">
      <c r="AX276" s="45"/>
    </row>
    <row r="277" ht="14.25">
      <c r="AX277" s="45"/>
    </row>
    <row r="278" ht="14.25">
      <c r="AX278" s="45"/>
    </row>
    <row r="279" ht="14.25">
      <c r="AX279" s="45"/>
    </row>
    <row r="280" ht="14.25">
      <c r="AX280" s="45"/>
    </row>
    <row r="281" ht="14.25">
      <c r="AX281" s="45"/>
    </row>
    <row r="282" ht="14.25">
      <c r="AX282" s="45"/>
    </row>
    <row r="283" ht="14.25">
      <c r="AX283" s="45"/>
    </row>
    <row r="284" ht="14.25">
      <c r="AX284" s="45"/>
    </row>
    <row r="285" ht="14.25">
      <c r="AX285" s="45"/>
    </row>
    <row r="286" ht="14.25">
      <c r="AX286" s="45"/>
    </row>
    <row r="287" ht="14.25">
      <c r="AX287" s="45"/>
    </row>
    <row r="288" ht="14.25">
      <c r="AX288" s="45"/>
    </row>
    <row r="289" ht="14.25">
      <c r="AX289" s="45"/>
    </row>
    <row r="290" ht="14.25">
      <c r="AX290" s="45"/>
    </row>
    <row r="291" ht="14.25">
      <c r="AX291" s="45"/>
    </row>
    <row r="292" ht="14.25">
      <c r="AX292" s="45"/>
    </row>
    <row r="293" ht="14.25">
      <c r="AX293" s="45"/>
    </row>
    <row r="294" ht="14.25">
      <c r="AX294" s="45"/>
    </row>
    <row r="295" ht="14.25">
      <c r="AX295" s="45"/>
    </row>
    <row r="296" ht="14.25">
      <c r="AX296" s="45"/>
    </row>
    <row r="297" ht="14.25">
      <c r="AX297" s="45"/>
    </row>
    <row r="298" ht="14.25">
      <c r="AX298" s="45"/>
    </row>
    <row r="299" ht="14.25">
      <c r="AX299" s="45"/>
    </row>
    <row r="300" ht="14.25">
      <c r="AX300" s="45"/>
    </row>
    <row r="301" ht="14.25">
      <c r="AX301" s="45"/>
    </row>
    <row r="302" ht="14.25">
      <c r="AX302" s="45"/>
    </row>
    <row r="303" ht="14.25">
      <c r="AX303" s="45"/>
    </row>
    <row r="304" ht="14.25">
      <c r="AX304" s="45"/>
    </row>
    <row r="305" ht="14.25">
      <c r="AX305" s="45"/>
    </row>
    <row r="306" ht="14.25">
      <c r="AX306" s="45"/>
    </row>
    <row r="307" ht="14.25">
      <c r="AX307" s="45"/>
    </row>
    <row r="308" ht="14.25">
      <c r="AX308" s="45"/>
    </row>
    <row r="309" ht="14.25">
      <c r="AX309" s="45"/>
    </row>
    <row r="310" ht="14.25">
      <c r="AX310" s="45"/>
    </row>
    <row r="311" ht="14.25">
      <c r="AX311" s="45"/>
    </row>
    <row r="312" ht="14.25">
      <c r="AX312" s="45"/>
    </row>
    <row r="313" ht="14.25">
      <c r="AX313" s="45"/>
    </row>
    <row r="314" ht="14.25">
      <c r="AX314" s="45"/>
    </row>
    <row r="315" ht="14.25">
      <c r="AX315" s="45"/>
    </row>
    <row r="316" ht="14.25">
      <c r="AX316" s="45"/>
    </row>
    <row r="317" ht="14.25">
      <c r="AX317" s="45"/>
    </row>
    <row r="318" ht="14.25">
      <c r="AX318" s="45"/>
    </row>
    <row r="319" ht="14.25">
      <c r="AX319" s="45"/>
    </row>
    <row r="320" ht="14.25">
      <c r="AX320" s="45"/>
    </row>
    <row r="321" ht="14.25">
      <c r="AX321" s="45"/>
    </row>
    <row r="322" ht="14.25">
      <c r="AX322" s="45"/>
    </row>
    <row r="323" ht="14.25">
      <c r="AX323" s="45"/>
    </row>
    <row r="324" ht="14.25">
      <c r="AX324" s="45"/>
    </row>
    <row r="325" ht="14.25">
      <c r="AX325" s="45"/>
    </row>
    <row r="326" ht="14.25">
      <c r="AX326" s="45"/>
    </row>
    <row r="327" ht="14.25">
      <c r="AX327" s="45"/>
    </row>
    <row r="328" ht="14.25">
      <c r="AX328" s="45"/>
    </row>
    <row r="329" ht="14.25">
      <c r="AX329" s="45"/>
    </row>
    <row r="330" ht="14.25">
      <c r="AX330" s="45"/>
    </row>
    <row r="331" ht="14.25">
      <c r="AX331" s="45"/>
    </row>
    <row r="332" ht="14.25">
      <c r="AX332" s="45"/>
    </row>
    <row r="333" ht="14.25">
      <c r="AX333" s="45"/>
    </row>
    <row r="334" ht="14.25">
      <c r="AX334" s="45"/>
    </row>
    <row r="335" ht="14.25">
      <c r="AX335" s="45"/>
    </row>
    <row r="336" ht="14.25">
      <c r="AX336" s="45"/>
    </row>
    <row r="337" ht="14.25">
      <c r="AX337" s="45"/>
    </row>
    <row r="338" ht="14.25">
      <c r="AX338" s="45"/>
    </row>
    <row r="339" ht="14.25">
      <c r="AX339" s="45"/>
    </row>
    <row r="340" ht="14.25">
      <c r="AX340" s="45"/>
    </row>
    <row r="341" ht="14.25">
      <c r="AX341" s="45"/>
    </row>
    <row r="342" ht="14.25">
      <c r="AX342" s="45"/>
    </row>
    <row r="343" ht="14.25">
      <c r="AX343" s="45"/>
    </row>
    <row r="344" ht="14.25">
      <c r="AX344" s="45"/>
    </row>
    <row r="345" ht="14.25">
      <c r="AX345" s="45"/>
    </row>
    <row r="346" ht="14.25">
      <c r="AX346" s="45"/>
    </row>
    <row r="347" ht="14.25">
      <c r="AX347" s="45"/>
    </row>
    <row r="348" ht="14.25">
      <c r="AX348" s="45"/>
    </row>
    <row r="349" ht="14.25">
      <c r="AX349" s="45"/>
    </row>
    <row r="350" ht="14.25">
      <c r="AX350" s="45"/>
    </row>
    <row r="351" ht="14.25">
      <c r="AX351" s="45"/>
    </row>
    <row r="352" ht="14.25">
      <c r="AX352" s="45"/>
    </row>
    <row r="353" ht="14.25">
      <c r="AX353" s="45"/>
    </row>
    <row r="354" ht="14.25">
      <c r="AX354" s="45"/>
    </row>
    <row r="355" ht="14.25">
      <c r="AX355" s="45"/>
    </row>
    <row r="356" ht="14.25">
      <c r="AX356" s="45"/>
    </row>
    <row r="357" ht="14.25">
      <c r="AX357" s="45"/>
    </row>
    <row r="358" ht="14.25">
      <c r="AX358" s="45"/>
    </row>
    <row r="359" ht="14.25">
      <c r="AX359" s="45"/>
    </row>
    <row r="360" ht="14.25">
      <c r="AX360" s="45"/>
    </row>
    <row r="361" ht="14.25">
      <c r="AX361" s="45"/>
    </row>
    <row r="362" ht="14.25">
      <c r="AX362" s="45"/>
    </row>
    <row r="363" ht="14.25">
      <c r="AX363" s="45"/>
    </row>
    <row r="364" ht="14.25">
      <c r="AX364" s="45"/>
    </row>
  </sheetData>
  <sheetProtection/>
  <mergeCells count="17">
    <mergeCell ref="BE2:BF2"/>
    <mergeCell ref="BE4:BF4"/>
    <mergeCell ref="B11:B12"/>
    <mergeCell ref="A11:A12"/>
    <mergeCell ref="BE3:BF3"/>
    <mergeCell ref="BE5:BF5"/>
    <mergeCell ref="BE6:BF6"/>
    <mergeCell ref="BE8:BF8"/>
    <mergeCell ref="BE9:BF9"/>
    <mergeCell ref="AE11:AP11"/>
    <mergeCell ref="AQ11:BB11"/>
    <mergeCell ref="D11:D12"/>
    <mergeCell ref="C11:C12"/>
    <mergeCell ref="G11:R11"/>
    <mergeCell ref="E11:E12"/>
    <mergeCell ref="F11:F12"/>
    <mergeCell ref="S11:AD11"/>
  </mergeCells>
  <printOptions/>
  <pageMargins left="0.25" right="0.25" top="0.75" bottom="0.75" header="0.3" footer="0.3"/>
  <pageSetup horizontalDpi="600" verticalDpi="600" orientation="landscape" paperSize="8" scale="52" r:id="rId3"/>
  <headerFooter alignWithMargins="0">
    <oddFooter>&amp;R&amp;P</oddFooter>
  </headerFooter>
  <rowBreaks count="6" manualBreakCount="6">
    <brk id="29" max="255" man="1"/>
    <brk id="45" max="255" man="1"/>
    <brk id="61" max="255" man="1"/>
    <brk id="84" max="255" man="1"/>
    <brk id="100" max="255" man="1"/>
    <brk id="123" max="255" man="1"/>
  </rowBreaks>
  <colBreaks count="1" manualBreakCount="1">
    <brk id="30" max="65535" man="1"/>
  </colBreaks>
  <legacyDrawing r:id="rId2"/>
</worksheet>
</file>

<file path=xl/worksheets/sheet2.xml><?xml version="1.0" encoding="utf-8"?>
<worksheet xmlns="http://schemas.openxmlformats.org/spreadsheetml/2006/main" xmlns:r="http://schemas.openxmlformats.org/officeDocument/2006/relationships">
  <dimension ref="A1:N112"/>
  <sheetViews>
    <sheetView tabSelected="1" zoomScalePageLayoutView="0" workbookViewId="0" topLeftCell="A1">
      <pane xSplit="5" ySplit="6" topLeftCell="F7" activePane="bottomRight" state="frozen"/>
      <selection pane="topLeft" activeCell="A1" sqref="A1"/>
      <selection pane="topRight" activeCell="L1" sqref="L1"/>
      <selection pane="bottomLeft" activeCell="A18" sqref="A18"/>
      <selection pane="bottomRight" activeCell="M1" sqref="M1:N2"/>
    </sheetView>
  </sheetViews>
  <sheetFormatPr defaultColWidth="9.140625" defaultRowHeight="15"/>
  <cols>
    <col min="1" max="1" width="7.7109375" style="444" customWidth="1"/>
    <col min="2" max="2" width="12.140625" style="444" customWidth="1"/>
    <col min="3" max="3" width="23.421875" style="448" customWidth="1"/>
    <col min="4" max="4" width="16.140625" style="444" customWidth="1"/>
    <col min="5" max="5" width="17.57421875" style="449" customWidth="1"/>
    <col min="6" max="6" width="18.00390625" style="450" customWidth="1"/>
    <col min="7" max="7" width="15.8515625" style="450" hidden="1" customWidth="1"/>
    <col min="8" max="8" width="15.140625" style="448" customWidth="1"/>
    <col min="9" max="9" width="17.140625" style="444" customWidth="1"/>
    <col min="10" max="10" width="15.28125" style="444" customWidth="1"/>
    <col min="11" max="11" width="14.28125" style="444" customWidth="1"/>
    <col min="12" max="12" width="15.140625" style="444" customWidth="1"/>
    <col min="13" max="13" width="14.140625" style="444" customWidth="1"/>
    <col min="14" max="14" width="17.28125" style="444" customWidth="1"/>
    <col min="15" max="16384" width="9.140625" style="444" customWidth="1"/>
  </cols>
  <sheetData>
    <row r="1" spans="13:14" ht="13.5">
      <c r="M1" s="532" t="s">
        <v>346</v>
      </c>
      <c r="N1" s="532"/>
    </row>
    <row r="2" spans="1:14" ht="15.75">
      <c r="A2" s="451"/>
      <c r="C2" s="444"/>
      <c r="E2" s="445"/>
      <c r="F2" s="446"/>
      <c r="G2" s="446"/>
      <c r="H2" s="447"/>
      <c r="M2" s="532" t="s">
        <v>297</v>
      </c>
      <c r="N2" s="532"/>
    </row>
    <row r="3" spans="1:14" ht="15" customHeight="1">
      <c r="A3" s="547" t="s">
        <v>363</v>
      </c>
      <c r="B3" s="547"/>
      <c r="C3" s="547"/>
      <c r="D3" s="547"/>
      <c r="E3" s="547"/>
      <c r="F3" s="547"/>
      <c r="G3" s="547"/>
      <c r="H3" s="547"/>
      <c r="I3" s="547"/>
      <c r="J3" s="547"/>
      <c r="K3" s="547"/>
      <c r="L3" s="547"/>
      <c r="M3" s="547"/>
      <c r="N3" s="547"/>
    </row>
    <row r="4" spans="1:14" ht="21.75" customHeight="1">
      <c r="A4" s="548" t="s">
        <v>367</v>
      </c>
      <c r="B4" s="548"/>
      <c r="C4" s="548"/>
      <c r="D4" s="548"/>
      <c r="E4" s="548"/>
      <c r="F4" s="548"/>
      <c r="G4" s="548"/>
      <c r="H4" s="548"/>
      <c r="I4" s="548"/>
      <c r="J4" s="548"/>
      <c r="K4" s="548"/>
      <c r="L4" s="548"/>
      <c r="M4" s="548"/>
      <c r="N4" s="548"/>
    </row>
    <row r="5" s="452" customFormat="1" ht="15" customHeight="1"/>
    <row r="6" spans="1:14" ht="17.25" customHeight="1">
      <c r="A6" s="549" t="s">
        <v>368</v>
      </c>
      <c r="B6" s="549"/>
      <c r="C6" s="549"/>
      <c r="D6" s="549"/>
      <c r="E6" s="549"/>
      <c r="F6" s="549"/>
      <c r="G6" s="549"/>
      <c r="H6" s="549"/>
      <c r="I6" s="549"/>
      <c r="J6" s="549"/>
      <c r="K6" s="549"/>
      <c r="L6" s="549"/>
      <c r="M6" s="549"/>
      <c r="N6" s="549"/>
    </row>
    <row r="7" spans="1:14" ht="13.5">
      <c r="A7" s="550" t="s">
        <v>347</v>
      </c>
      <c r="B7" s="550"/>
      <c r="C7" s="550"/>
      <c r="D7" s="550"/>
      <c r="E7" s="550"/>
      <c r="F7" s="550"/>
      <c r="G7" s="550"/>
      <c r="H7" s="550"/>
      <c r="I7" s="550"/>
      <c r="J7" s="550"/>
      <c r="K7" s="550"/>
      <c r="L7" s="550"/>
      <c r="M7" s="550"/>
      <c r="N7" s="550"/>
    </row>
    <row r="8" spans="1:14" ht="99" customHeight="1">
      <c r="A8" s="478" t="s">
        <v>229</v>
      </c>
      <c r="B8" s="478" t="s">
        <v>298</v>
      </c>
      <c r="C8" s="478" t="s">
        <v>225</v>
      </c>
      <c r="D8" s="461" t="s">
        <v>219</v>
      </c>
      <c r="E8" s="478" t="s">
        <v>277</v>
      </c>
      <c r="F8" s="461" t="s">
        <v>220</v>
      </c>
      <c r="G8" s="461" t="s">
        <v>299</v>
      </c>
      <c r="H8" s="461" t="s">
        <v>300</v>
      </c>
      <c r="I8" s="461" t="s">
        <v>263</v>
      </c>
      <c r="J8" s="461" t="s">
        <v>264</v>
      </c>
      <c r="K8" s="461" t="s">
        <v>265</v>
      </c>
      <c r="L8" s="481" t="s">
        <v>343</v>
      </c>
      <c r="M8" s="478" t="s">
        <v>376</v>
      </c>
      <c r="N8" s="481" t="s">
        <v>345</v>
      </c>
    </row>
    <row r="9" spans="1:14" ht="31.5" customHeight="1">
      <c r="A9" s="456">
        <v>1</v>
      </c>
      <c r="B9" s="482" t="s">
        <v>301</v>
      </c>
      <c r="C9" s="457" t="s">
        <v>276</v>
      </c>
      <c r="D9" s="458">
        <v>1</v>
      </c>
      <c r="E9" s="456" t="s">
        <v>278</v>
      </c>
      <c r="F9" s="459" t="s">
        <v>290</v>
      </c>
      <c r="G9" s="460">
        <v>13239.59</v>
      </c>
      <c r="H9" s="504">
        <f>G9/0.702804</f>
        <v>18838.239395336397</v>
      </c>
      <c r="I9" s="460" t="s">
        <v>266</v>
      </c>
      <c r="J9" s="460" t="s">
        <v>267</v>
      </c>
      <c r="K9" s="460" t="s">
        <v>268</v>
      </c>
      <c r="L9" s="483"/>
      <c r="M9" s="483"/>
      <c r="N9" s="483"/>
    </row>
    <row r="10" spans="1:14" ht="72" customHeight="1">
      <c r="A10" s="456">
        <v>2</v>
      </c>
      <c r="B10" s="482" t="s">
        <v>301</v>
      </c>
      <c r="C10" s="457" t="s">
        <v>275</v>
      </c>
      <c r="D10" s="458">
        <v>1</v>
      </c>
      <c r="E10" s="456" t="s">
        <v>278</v>
      </c>
      <c r="F10" s="459" t="s">
        <v>290</v>
      </c>
      <c r="G10" s="460">
        <v>114026.73</v>
      </c>
      <c r="H10" s="504">
        <f aca="true" t="shared" si="0" ref="H10:H73">G10/0.702804</f>
        <v>162245.41977564158</v>
      </c>
      <c r="I10" s="460" t="s">
        <v>266</v>
      </c>
      <c r="J10" s="460" t="s">
        <v>267</v>
      </c>
      <c r="K10" s="460" t="s">
        <v>268</v>
      </c>
      <c r="L10" s="483"/>
      <c r="M10" s="483"/>
      <c r="N10" s="483"/>
    </row>
    <row r="11" spans="1:14" ht="33" customHeight="1">
      <c r="A11" s="456">
        <v>3</v>
      </c>
      <c r="B11" s="482" t="s">
        <v>301</v>
      </c>
      <c r="C11" s="457" t="s">
        <v>279</v>
      </c>
      <c r="D11" s="458">
        <v>1</v>
      </c>
      <c r="E11" s="456" t="s">
        <v>278</v>
      </c>
      <c r="F11" s="459" t="s">
        <v>291</v>
      </c>
      <c r="G11" s="460">
        <v>369749.82</v>
      </c>
      <c r="H11" s="504">
        <f t="shared" si="0"/>
        <v>526106.5958645653</v>
      </c>
      <c r="I11" s="460" t="s">
        <v>266</v>
      </c>
      <c r="J11" s="460" t="s">
        <v>267</v>
      </c>
      <c r="K11" s="460" t="s">
        <v>268</v>
      </c>
      <c r="L11" s="483"/>
      <c r="M11" s="483"/>
      <c r="N11" s="483"/>
    </row>
    <row r="12" spans="1:14" ht="48" customHeight="1">
      <c r="A12" s="456">
        <v>4</v>
      </c>
      <c r="B12" s="482" t="s">
        <v>301</v>
      </c>
      <c r="C12" s="457" t="s">
        <v>280</v>
      </c>
      <c r="D12" s="458">
        <v>1</v>
      </c>
      <c r="E12" s="456" t="s">
        <v>278</v>
      </c>
      <c r="F12" s="459" t="s">
        <v>290</v>
      </c>
      <c r="G12" s="460">
        <v>8798.32</v>
      </c>
      <c r="H12" s="504">
        <f t="shared" si="0"/>
        <v>12518.881508927097</v>
      </c>
      <c r="I12" s="460" t="s">
        <v>271</v>
      </c>
      <c r="J12" s="460" t="s">
        <v>273</v>
      </c>
      <c r="K12" s="460" t="s">
        <v>268</v>
      </c>
      <c r="L12" s="483"/>
      <c r="M12" s="483"/>
      <c r="N12" s="483"/>
    </row>
    <row r="13" spans="1:14" ht="62.25" customHeight="1">
      <c r="A13" s="456">
        <v>5</v>
      </c>
      <c r="B13" s="482" t="s">
        <v>301</v>
      </c>
      <c r="C13" s="457" t="s">
        <v>281</v>
      </c>
      <c r="D13" s="458">
        <v>1</v>
      </c>
      <c r="E13" s="462" t="s">
        <v>278</v>
      </c>
      <c r="F13" s="459" t="s">
        <v>290</v>
      </c>
      <c r="G13" s="460">
        <v>12880.84</v>
      </c>
      <c r="H13" s="504">
        <f t="shared" si="0"/>
        <v>18327.784133271867</v>
      </c>
      <c r="I13" s="460" t="s">
        <v>271</v>
      </c>
      <c r="J13" s="460" t="s">
        <v>272</v>
      </c>
      <c r="K13" s="460" t="s">
        <v>268</v>
      </c>
      <c r="L13" s="483"/>
      <c r="M13" s="483"/>
      <c r="N13" s="483"/>
    </row>
    <row r="14" spans="1:14" ht="55.5" customHeight="1">
      <c r="A14" s="456">
        <v>6</v>
      </c>
      <c r="B14" s="482" t="s">
        <v>301</v>
      </c>
      <c r="C14" s="457" t="s">
        <v>221</v>
      </c>
      <c r="D14" s="458">
        <v>1</v>
      </c>
      <c r="E14" s="456" t="s">
        <v>282</v>
      </c>
      <c r="F14" s="459" t="s">
        <v>290</v>
      </c>
      <c r="G14" s="460">
        <v>18401.21</v>
      </c>
      <c r="H14" s="504">
        <f>G14/0.702804</f>
        <v>26182.562990535054</v>
      </c>
      <c r="I14" s="460" t="s">
        <v>266</v>
      </c>
      <c r="J14" s="460" t="s">
        <v>267</v>
      </c>
      <c r="K14" s="460" t="s">
        <v>268</v>
      </c>
      <c r="L14" s="483"/>
      <c r="M14" s="483"/>
      <c r="N14" s="483"/>
    </row>
    <row r="15" spans="1:14" ht="39.75" customHeight="1">
      <c r="A15" s="456">
        <v>7</v>
      </c>
      <c r="B15" s="482" t="s">
        <v>301</v>
      </c>
      <c r="C15" s="457" t="s">
        <v>252</v>
      </c>
      <c r="D15" s="458">
        <v>1</v>
      </c>
      <c r="E15" s="456" t="s">
        <v>282</v>
      </c>
      <c r="F15" s="459" t="s">
        <v>290</v>
      </c>
      <c r="G15" s="460">
        <v>36632.6</v>
      </c>
      <c r="H15" s="504">
        <f t="shared" si="0"/>
        <v>52123.493890188445</v>
      </c>
      <c r="I15" s="460" t="s">
        <v>266</v>
      </c>
      <c r="J15" s="460" t="s">
        <v>273</v>
      </c>
      <c r="K15" s="460" t="s">
        <v>268</v>
      </c>
      <c r="L15" s="483"/>
      <c r="M15" s="483"/>
      <c r="N15" s="483"/>
    </row>
    <row r="16" spans="1:14" ht="89.25">
      <c r="A16" s="456">
        <v>8</v>
      </c>
      <c r="B16" s="482" t="s">
        <v>301</v>
      </c>
      <c r="C16" s="457" t="s">
        <v>226</v>
      </c>
      <c r="D16" s="458">
        <v>1</v>
      </c>
      <c r="E16" s="456" t="s">
        <v>282</v>
      </c>
      <c r="F16" s="459" t="s">
        <v>302</v>
      </c>
      <c r="G16" s="460">
        <v>117406.27</v>
      </c>
      <c r="H16" s="504">
        <f t="shared" si="0"/>
        <v>167054.07197454767</v>
      </c>
      <c r="I16" s="460" t="s">
        <v>266</v>
      </c>
      <c r="J16" s="460" t="s">
        <v>267</v>
      </c>
      <c r="K16" s="460" t="s">
        <v>268</v>
      </c>
      <c r="L16" s="483"/>
      <c r="M16" s="483"/>
      <c r="N16" s="483"/>
    </row>
    <row r="17" spans="1:14" ht="43.5" customHeight="1">
      <c r="A17" s="456">
        <v>9</v>
      </c>
      <c r="B17" s="482" t="s">
        <v>301</v>
      </c>
      <c r="C17" s="457" t="s">
        <v>223</v>
      </c>
      <c r="D17" s="458">
        <v>1</v>
      </c>
      <c r="E17" s="456" t="s">
        <v>282</v>
      </c>
      <c r="F17" s="459" t="s">
        <v>302</v>
      </c>
      <c r="G17" s="460">
        <v>118874</v>
      </c>
      <c r="H17" s="504">
        <f t="shared" si="0"/>
        <v>169142.4636171678</v>
      </c>
      <c r="I17" s="460" t="s">
        <v>266</v>
      </c>
      <c r="J17" s="460" t="s">
        <v>267</v>
      </c>
      <c r="K17" s="460" t="s">
        <v>268</v>
      </c>
      <c r="L17" s="483"/>
      <c r="M17" s="483"/>
      <c r="N17" s="483"/>
    </row>
    <row r="18" spans="1:14" ht="33" customHeight="1">
      <c r="A18" s="456">
        <v>10</v>
      </c>
      <c r="B18" s="482" t="s">
        <v>301</v>
      </c>
      <c r="C18" s="457" t="s">
        <v>227</v>
      </c>
      <c r="D18" s="458">
        <v>1</v>
      </c>
      <c r="E18" s="456" t="s">
        <v>282</v>
      </c>
      <c r="F18" s="459" t="s">
        <v>302</v>
      </c>
      <c r="G18" s="460">
        <v>36875.2</v>
      </c>
      <c r="H18" s="504">
        <f t="shared" si="0"/>
        <v>52468.68259144797</v>
      </c>
      <c r="I18" s="460" t="s">
        <v>266</v>
      </c>
      <c r="J18" s="460" t="s">
        <v>267</v>
      </c>
      <c r="K18" s="460" t="s">
        <v>268</v>
      </c>
      <c r="L18" s="483"/>
      <c r="M18" s="483"/>
      <c r="N18" s="483"/>
    </row>
    <row r="19" spans="1:14" ht="42" customHeight="1">
      <c r="A19" s="456">
        <v>11</v>
      </c>
      <c r="B19" s="482" t="s">
        <v>301</v>
      </c>
      <c r="C19" s="457" t="s">
        <v>228</v>
      </c>
      <c r="D19" s="458">
        <v>1</v>
      </c>
      <c r="E19" s="456" t="s">
        <v>282</v>
      </c>
      <c r="F19" s="459" t="s">
        <v>302</v>
      </c>
      <c r="G19" s="460">
        <v>36390</v>
      </c>
      <c r="H19" s="504">
        <f>G19/0.702804</f>
        <v>51778.30518892892</v>
      </c>
      <c r="I19" s="460" t="s">
        <v>266</v>
      </c>
      <c r="J19" s="460" t="s">
        <v>267</v>
      </c>
      <c r="K19" s="460" t="s">
        <v>268</v>
      </c>
      <c r="L19" s="483"/>
      <c r="M19" s="483"/>
      <c r="N19" s="483"/>
    </row>
    <row r="20" spans="1:14" ht="27" customHeight="1">
      <c r="A20" s="456">
        <v>12</v>
      </c>
      <c r="B20" s="482" t="s">
        <v>301</v>
      </c>
      <c r="C20" s="457" t="s">
        <v>250</v>
      </c>
      <c r="D20" s="458">
        <v>1</v>
      </c>
      <c r="E20" s="456" t="s">
        <v>282</v>
      </c>
      <c r="F20" s="459" t="s">
        <v>302</v>
      </c>
      <c r="G20" s="460">
        <v>6889.84</v>
      </c>
      <c r="H20" s="504">
        <f t="shared" si="0"/>
        <v>9803.359115770543</v>
      </c>
      <c r="I20" s="460" t="s">
        <v>266</v>
      </c>
      <c r="J20" s="460" t="s">
        <v>267</v>
      </c>
      <c r="K20" s="460" t="s">
        <v>268</v>
      </c>
      <c r="L20" s="483"/>
      <c r="M20" s="483"/>
      <c r="N20" s="483"/>
    </row>
    <row r="21" spans="1:14" ht="38.25">
      <c r="A21" s="456">
        <v>13</v>
      </c>
      <c r="B21" s="482" t="s">
        <v>301</v>
      </c>
      <c r="C21" s="457" t="s">
        <v>248</v>
      </c>
      <c r="D21" s="458">
        <v>1</v>
      </c>
      <c r="E21" s="456" t="s">
        <v>282</v>
      </c>
      <c r="F21" s="459" t="s">
        <v>302</v>
      </c>
      <c r="G21" s="460">
        <v>3956.8</v>
      </c>
      <c r="H21" s="504">
        <f t="shared" si="0"/>
        <v>5630.019180312008</v>
      </c>
      <c r="I21" s="460" t="s">
        <v>266</v>
      </c>
      <c r="J21" s="460" t="s">
        <v>267</v>
      </c>
      <c r="K21" s="460" t="s">
        <v>268</v>
      </c>
      <c r="L21" s="483"/>
      <c r="M21" s="483"/>
      <c r="N21" s="483"/>
    </row>
    <row r="22" spans="1:14" ht="42" customHeight="1">
      <c r="A22" s="456">
        <v>14</v>
      </c>
      <c r="B22" s="482" t="s">
        <v>301</v>
      </c>
      <c r="C22" s="457" t="s">
        <v>230</v>
      </c>
      <c r="D22" s="458">
        <v>1</v>
      </c>
      <c r="E22" s="456" t="s">
        <v>282</v>
      </c>
      <c r="F22" s="459" t="s">
        <v>302</v>
      </c>
      <c r="G22" s="460">
        <v>21834</v>
      </c>
      <c r="H22" s="504">
        <f t="shared" si="0"/>
        <v>31066.983113357353</v>
      </c>
      <c r="I22" s="460" t="s">
        <v>266</v>
      </c>
      <c r="J22" s="460" t="s">
        <v>267</v>
      </c>
      <c r="K22" s="460" t="s">
        <v>268</v>
      </c>
      <c r="L22" s="483"/>
      <c r="M22" s="483"/>
      <c r="N22" s="483"/>
    </row>
    <row r="23" spans="1:14" ht="63.75">
      <c r="A23" s="456">
        <v>15</v>
      </c>
      <c r="B23" s="482" t="s">
        <v>301</v>
      </c>
      <c r="C23" s="457" t="s">
        <v>247</v>
      </c>
      <c r="D23" s="458">
        <v>1</v>
      </c>
      <c r="E23" s="456" t="s">
        <v>282</v>
      </c>
      <c r="F23" s="459" t="s">
        <v>302</v>
      </c>
      <c r="G23" s="460">
        <f>35023*1.21</f>
        <v>42377.83</v>
      </c>
      <c r="H23" s="504">
        <f t="shared" si="0"/>
        <v>60298.21970279054</v>
      </c>
      <c r="I23" s="460" t="s">
        <v>266</v>
      </c>
      <c r="J23" s="460" t="s">
        <v>267</v>
      </c>
      <c r="K23" s="460" t="s">
        <v>268</v>
      </c>
      <c r="L23" s="483"/>
      <c r="M23" s="483"/>
      <c r="N23" s="483"/>
    </row>
    <row r="24" spans="1:14" ht="38.25">
      <c r="A24" s="456">
        <v>16</v>
      </c>
      <c r="B24" s="482" t="s">
        <v>301</v>
      </c>
      <c r="C24" s="457" t="s">
        <v>249</v>
      </c>
      <c r="D24" s="458">
        <v>1</v>
      </c>
      <c r="E24" s="456" t="s">
        <v>282</v>
      </c>
      <c r="F24" s="459" t="s">
        <v>302</v>
      </c>
      <c r="G24" s="460">
        <v>6679.99</v>
      </c>
      <c r="H24" s="504">
        <f>G24/0.702804</f>
        <v>9504.76946630924</v>
      </c>
      <c r="I24" s="460" t="s">
        <v>266</v>
      </c>
      <c r="J24" s="460" t="s">
        <v>267</v>
      </c>
      <c r="K24" s="460" t="s">
        <v>268</v>
      </c>
      <c r="L24" s="483"/>
      <c r="M24" s="483"/>
      <c r="N24" s="483"/>
    </row>
    <row r="25" spans="1:14" ht="30" customHeight="1">
      <c r="A25" s="456">
        <v>17</v>
      </c>
      <c r="B25" s="482" t="s">
        <v>301</v>
      </c>
      <c r="C25" s="457" t="s">
        <v>251</v>
      </c>
      <c r="D25" s="458">
        <v>1</v>
      </c>
      <c r="E25" s="456" t="s">
        <v>282</v>
      </c>
      <c r="F25" s="459" t="s">
        <v>302</v>
      </c>
      <c r="G25" s="460">
        <v>2248.9</v>
      </c>
      <c r="H25" s="504">
        <f t="shared" si="0"/>
        <v>3199.896414932186</v>
      </c>
      <c r="I25" s="460" t="s">
        <v>266</v>
      </c>
      <c r="J25" s="460" t="s">
        <v>267</v>
      </c>
      <c r="K25" s="460" t="s">
        <v>268</v>
      </c>
      <c r="L25" s="483"/>
      <c r="M25" s="483"/>
      <c r="N25" s="483"/>
    </row>
    <row r="26" spans="1:14" ht="25.5">
      <c r="A26" s="456">
        <v>18</v>
      </c>
      <c r="B26" s="482" t="s">
        <v>301</v>
      </c>
      <c r="C26" s="457" t="s">
        <v>224</v>
      </c>
      <c r="D26" s="458">
        <v>1</v>
      </c>
      <c r="E26" s="456" t="s">
        <v>282</v>
      </c>
      <c r="F26" s="459" t="s">
        <v>302</v>
      </c>
      <c r="G26" s="460">
        <f>24000*1.21</f>
        <v>29040</v>
      </c>
      <c r="H26" s="504">
        <f t="shared" si="0"/>
        <v>41320.19738077757</v>
      </c>
      <c r="I26" s="460" t="s">
        <v>266</v>
      </c>
      <c r="J26" s="460" t="s">
        <v>267</v>
      </c>
      <c r="K26" s="460" t="s">
        <v>268</v>
      </c>
      <c r="L26" s="483"/>
      <c r="M26" s="483"/>
      <c r="N26" s="483"/>
    </row>
    <row r="27" spans="1:14" ht="25.5">
      <c r="A27" s="456">
        <v>19</v>
      </c>
      <c r="B27" s="482" t="s">
        <v>301</v>
      </c>
      <c r="C27" s="457" t="s">
        <v>239</v>
      </c>
      <c r="D27" s="458">
        <v>1</v>
      </c>
      <c r="E27" s="456" t="s">
        <v>282</v>
      </c>
      <c r="F27" s="459" t="s">
        <v>292</v>
      </c>
      <c r="G27" s="460">
        <v>486.42</v>
      </c>
      <c r="H27" s="504">
        <f t="shared" si="0"/>
        <v>692.1133061280243</v>
      </c>
      <c r="I27" s="460" t="s">
        <v>266</v>
      </c>
      <c r="J27" s="460" t="s">
        <v>267</v>
      </c>
      <c r="K27" s="460" t="s">
        <v>268</v>
      </c>
      <c r="L27" s="483"/>
      <c r="M27" s="483"/>
      <c r="N27" s="483"/>
    </row>
    <row r="28" spans="1:14" ht="38.25">
      <c r="A28" s="456">
        <v>20</v>
      </c>
      <c r="B28" s="482" t="s">
        <v>301</v>
      </c>
      <c r="C28" s="457" t="s">
        <v>238</v>
      </c>
      <c r="D28" s="458">
        <v>1</v>
      </c>
      <c r="E28" s="456" t="s">
        <v>278</v>
      </c>
      <c r="F28" s="459" t="s">
        <v>292</v>
      </c>
      <c r="G28" s="460">
        <v>8102.84</v>
      </c>
      <c r="H28" s="504">
        <f t="shared" si="0"/>
        <v>11529.302622068173</v>
      </c>
      <c r="I28" s="460" t="s">
        <v>266</v>
      </c>
      <c r="J28" s="460" t="s">
        <v>267</v>
      </c>
      <c r="K28" s="460" t="s">
        <v>268</v>
      </c>
      <c r="L28" s="483"/>
      <c r="M28" s="483"/>
      <c r="N28" s="483"/>
    </row>
    <row r="29" spans="1:14" ht="25.5">
      <c r="A29" s="456">
        <v>21</v>
      </c>
      <c r="B29" s="482" t="s">
        <v>301</v>
      </c>
      <c r="C29" s="457" t="s">
        <v>222</v>
      </c>
      <c r="D29" s="458">
        <v>1</v>
      </c>
      <c r="E29" s="456" t="s">
        <v>282</v>
      </c>
      <c r="F29" s="459" t="s">
        <v>292</v>
      </c>
      <c r="G29" s="460">
        <v>40781.06</v>
      </c>
      <c r="H29" s="504">
        <f>G29/0.702804</f>
        <v>58026.22068172634</v>
      </c>
      <c r="I29" s="460" t="s">
        <v>266</v>
      </c>
      <c r="J29" s="460" t="s">
        <v>267</v>
      </c>
      <c r="K29" s="460" t="s">
        <v>268</v>
      </c>
      <c r="L29" s="483"/>
      <c r="M29" s="483"/>
      <c r="N29" s="483"/>
    </row>
    <row r="30" spans="1:14" ht="38.25">
      <c r="A30" s="456">
        <v>22</v>
      </c>
      <c r="B30" s="482" t="s">
        <v>301</v>
      </c>
      <c r="C30" s="457" t="s">
        <v>242</v>
      </c>
      <c r="D30" s="458">
        <v>1</v>
      </c>
      <c r="E30" s="456" t="s">
        <v>282</v>
      </c>
      <c r="F30" s="459" t="s">
        <v>292</v>
      </c>
      <c r="G30" s="460">
        <v>54450</v>
      </c>
      <c r="H30" s="504">
        <f t="shared" si="0"/>
        <v>77475.37008895795</v>
      </c>
      <c r="I30" s="460" t="s">
        <v>266</v>
      </c>
      <c r="J30" s="460" t="s">
        <v>267</v>
      </c>
      <c r="K30" s="460" t="s">
        <v>268</v>
      </c>
      <c r="L30" s="483"/>
      <c r="M30" s="483"/>
      <c r="N30" s="483"/>
    </row>
    <row r="31" spans="1:14" ht="57.75" customHeight="1">
      <c r="A31" s="456">
        <v>23</v>
      </c>
      <c r="B31" s="482" t="s">
        <v>301</v>
      </c>
      <c r="C31" s="457" t="s">
        <v>257</v>
      </c>
      <c r="D31" s="458">
        <v>1</v>
      </c>
      <c r="E31" s="456" t="s">
        <v>282</v>
      </c>
      <c r="F31" s="459" t="s">
        <v>292</v>
      </c>
      <c r="G31" s="460">
        <v>7768.2</v>
      </c>
      <c r="H31" s="504">
        <f t="shared" si="0"/>
        <v>11053.152799358</v>
      </c>
      <c r="I31" s="460" t="s">
        <v>266</v>
      </c>
      <c r="J31" s="460" t="s">
        <v>267</v>
      </c>
      <c r="K31" s="460" t="s">
        <v>268</v>
      </c>
      <c r="L31" s="483"/>
      <c r="M31" s="483"/>
      <c r="N31" s="483"/>
    </row>
    <row r="32" spans="1:14" ht="33" customHeight="1">
      <c r="A32" s="456">
        <v>24</v>
      </c>
      <c r="B32" s="482" t="s">
        <v>301</v>
      </c>
      <c r="C32" s="457" t="s">
        <v>237</v>
      </c>
      <c r="D32" s="458">
        <v>1</v>
      </c>
      <c r="E32" s="456" t="s">
        <v>282</v>
      </c>
      <c r="F32" s="459" t="s">
        <v>292</v>
      </c>
      <c r="G32" s="460">
        <v>6591.4400000000005</v>
      </c>
      <c r="H32" s="504">
        <f t="shared" si="0"/>
        <v>9378.774167477704</v>
      </c>
      <c r="I32" s="460" t="s">
        <v>266</v>
      </c>
      <c r="J32" s="460" t="s">
        <v>267</v>
      </c>
      <c r="K32" s="460" t="s">
        <v>268</v>
      </c>
      <c r="L32" s="483"/>
      <c r="M32" s="483"/>
      <c r="N32" s="483"/>
    </row>
    <row r="33" spans="1:14" ht="48" customHeight="1">
      <c r="A33" s="456">
        <v>25</v>
      </c>
      <c r="B33" s="482" t="s">
        <v>301</v>
      </c>
      <c r="C33" s="457" t="s">
        <v>259</v>
      </c>
      <c r="D33" s="458">
        <v>1</v>
      </c>
      <c r="E33" s="456" t="s">
        <v>282</v>
      </c>
      <c r="F33" s="459" t="s">
        <v>292</v>
      </c>
      <c r="G33" s="460">
        <v>43439</v>
      </c>
      <c r="H33" s="504">
        <f t="shared" si="0"/>
        <v>61808.128582079786</v>
      </c>
      <c r="I33" s="460" t="s">
        <v>266</v>
      </c>
      <c r="J33" s="460" t="s">
        <v>267</v>
      </c>
      <c r="K33" s="460" t="s">
        <v>268</v>
      </c>
      <c r="L33" s="483"/>
      <c r="M33" s="483"/>
      <c r="N33" s="483"/>
    </row>
    <row r="34" spans="1:14" ht="45.75" customHeight="1">
      <c r="A34" s="456">
        <v>26</v>
      </c>
      <c r="B34" s="482" t="s">
        <v>301</v>
      </c>
      <c r="C34" s="457" t="s">
        <v>245</v>
      </c>
      <c r="D34" s="458">
        <v>1</v>
      </c>
      <c r="E34" s="456" t="s">
        <v>282</v>
      </c>
      <c r="F34" s="459" t="s">
        <v>292</v>
      </c>
      <c r="G34" s="460">
        <v>34982.92</v>
      </c>
      <c r="H34" s="504">
        <f>G34/0.702804</f>
        <v>49776.21072162367</v>
      </c>
      <c r="I34" s="460" t="s">
        <v>266</v>
      </c>
      <c r="J34" s="460" t="s">
        <v>267</v>
      </c>
      <c r="K34" s="460" t="s">
        <v>268</v>
      </c>
      <c r="L34" s="483"/>
      <c r="M34" s="483"/>
      <c r="N34" s="483"/>
    </row>
    <row r="35" spans="1:14" ht="38.25">
      <c r="A35" s="456">
        <v>27</v>
      </c>
      <c r="B35" s="482" t="s">
        <v>301</v>
      </c>
      <c r="C35" s="457" t="s">
        <v>260</v>
      </c>
      <c r="D35" s="458">
        <v>1</v>
      </c>
      <c r="E35" s="456" t="s">
        <v>282</v>
      </c>
      <c r="F35" s="459" t="s">
        <v>292</v>
      </c>
      <c r="G35" s="460">
        <v>45225.49</v>
      </c>
      <c r="H35" s="504">
        <f t="shared" si="0"/>
        <v>64350.074843057235</v>
      </c>
      <c r="I35" s="460" t="s">
        <v>266</v>
      </c>
      <c r="J35" s="460" t="s">
        <v>267</v>
      </c>
      <c r="K35" s="460" t="s">
        <v>268</v>
      </c>
      <c r="L35" s="483"/>
      <c r="M35" s="483"/>
      <c r="N35" s="483"/>
    </row>
    <row r="36" spans="1:14" ht="22.5" customHeight="1">
      <c r="A36" s="456">
        <v>28</v>
      </c>
      <c r="B36" s="482" t="s">
        <v>301</v>
      </c>
      <c r="C36" s="457" t="s">
        <v>261</v>
      </c>
      <c r="D36" s="458">
        <v>1</v>
      </c>
      <c r="E36" s="456" t="s">
        <v>282</v>
      </c>
      <c r="F36" s="459" t="s">
        <v>292</v>
      </c>
      <c r="G36" s="460">
        <v>1058.75</v>
      </c>
      <c r="H36" s="504">
        <f t="shared" si="0"/>
        <v>1506.4655295075156</v>
      </c>
      <c r="I36" s="460" t="s">
        <v>266</v>
      </c>
      <c r="J36" s="460" t="s">
        <v>267</v>
      </c>
      <c r="K36" s="460" t="s">
        <v>268</v>
      </c>
      <c r="L36" s="483"/>
      <c r="M36" s="483"/>
      <c r="N36" s="483"/>
    </row>
    <row r="37" spans="1:14" ht="31.5" customHeight="1">
      <c r="A37" s="456">
        <v>29</v>
      </c>
      <c r="B37" s="482" t="s">
        <v>301</v>
      </c>
      <c r="C37" s="457" t="s">
        <v>262</v>
      </c>
      <c r="D37" s="458">
        <v>1</v>
      </c>
      <c r="E37" s="456" t="s">
        <v>278</v>
      </c>
      <c r="F37" s="459" t="s">
        <v>292</v>
      </c>
      <c r="G37" s="460">
        <v>218582.6</v>
      </c>
      <c r="H37" s="504">
        <f>G37/0.702804</f>
        <v>311015.01983483305</v>
      </c>
      <c r="I37" s="460" t="s">
        <v>266</v>
      </c>
      <c r="J37" s="460" t="s">
        <v>269</v>
      </c>
      <c r="K37" s="460" t="s">
        <v>270</v>
      </c>
      <c r="L37" s="483"/>
      <c r="M37" s="483"/>
      <c r="N37" s="483"/>
    </row>
    <row r="38" spans="1:14" ht="38.25">
      <c r="A38" s="456">
        <v>30</v>
      </c>
      <c r="B38" s="482" t="s">
        <v>301</v>
      </c>
      <c r="C38" s="457" t="s">
        <v>289</v>
      </c>
      <c r="D38" s="458">
        <v>1</v>
      </c>
      <c r="E38" s="456" t="s">
        <v>278</v>
      </c>
      <c r="F38" s="459" t="s">
        <v>302</v>
      </c>
      <c r="G38" s="460">
        <v>465388.63</v>
      </c>
      <c r="H38" s="504">
        <f t="shared" si="0"/>
        <v>662188.3626160353</v>
      </c>
      <c r="I38" s="456" t="s">
        <v>266</v>
      </c>
      <c r="J38" s="456" t="s">
        <v>269</v>
      </c>
      <c r="K38" s="463" t="s">
        <v>270</v>
      </c>
      <c r="L38" s="483"/>
      <c r="M38" s="483"/>
      <c r="N38" s="483"/>
    </row>
    <row r="39" spans="1:14" ht="87.75" customHeight="1">
      <c r="A39" s="456">
        <v>31</v>
      </c>
      <c r="B39" s="484" t="s">
        <v>303</v>
      </c>
      <c r="C39" s="457" t="s">
        <v>283</v>
      </c>
      <c r="D39" s="464">
        <v>1</v>
      </c>
      <c r="E39" s="456" t="s">
        <v>278</v>
      </c>
      <c r="F39" s="459" t="s">
        <v>304</v>
      </c>
      <c r="G39" s="460">
        <v>34106.94</v>
      </c>
      <c r="H39" s="504">
        <f t="shared" si="0"/>
        <v>48529.80347294552</v>
      </c>
      <c r="I39" s="460" t="s">
        <v>271</v>
      </c>
      <c r="J39" s="460" t="s">
        <v>272</v>
      </c>
      <c r="K39" s="460" t="s">
        <v>270</v>
      </c>
      <c r="L39" s="483"/>
      <c r="M39" s="483"/>
      <c r="N39" s="483"/>
    </row>
    <row r="40" spans="1:14" ht="64.5" customHeight="1">
      <c r="A40" s="456">
        <v>32</v>
      </c>
      <c r="B40" s="484" t="s">
        <v>303</v>
      </c>
      <c r="C40" s="457" t="s">
        <v>231</v>
      </c>
      <c r="D40" s="458">
        <v>3</v>
      </c>
      <c r="E40" s="456" t="s">
        <v>278</v>
      </c>
      <c r="F40" s="459" t="s">
        <v>304</v>
      </c>
      <c r="G40" s="460">
        <v>1644.3899999999999</v>
      </c>
      <c r="H40" s="504">
        <f t="shared" si="0"/>
        <v>2339.7561766865297</v>
      </c>
      <c r="I40" s="460" t="s">
        <v>271</v>
      </c>
      <c r="J40" s="460" t="s">
        <v>269</v>
      </c>
      <c r="K40" s="460" t="s">
        <v>270</v>
      </c>
      <c r="L40" s="483"/>
      <c r="M40" s="483"/>
      <c r="N40" s="483"/>
    </row>
    <row r="41" spans="1:14" ht="76.5">
      <c r="A41" s="456">
        <v>33</v>
      </c>
      <c r="B41" s="484" t="s">
        <v>303</v>
      </c>
      <c r="C41" s="457" t="s">
        <v>232</v>
      </c>
      <c r="D41" s="458">
        <v>4</v>
      </c>
      <c r="E41" s="456" t="s">
        <v>278</v>
      </c>
      <c r="F41" s="459" t="s">
        <v>304</v>
      </c>
      <c r="G41" s="460">
        <v>9767.119999999999</v>
      </c>
      <c r="H41" s="504">
        <f t="shared" si="0"/>
        <v>13897.359719068188</v>
      </c>
      <c r="I41" s="460" t="s">
        <v>271</v>
      </c>
      <c r="J41" s="460" t="s">
        <v>269</v>
      </c>
      <c r="K41" s="460" t="s">
        <v>270</v>
      </c>
      <c r="L41" s="483"/>
      <c r="M41" s="483"/>
      <c r="N41" s="483"/>
    </row>
    <row r="42" spans="1:14" ht="89.25">
      <c r="A42" s="456">
        <v>34</v>
      </c>
      <c r="B42" s="484" t="s">
        <v>303</v>
      </c>
      <c r="C42" s="457" t="s">
        <v>236</v>
      </c>
      <c r="D42" s="458">
        <v>1</v>
      </c>
      <c r="E42" s="456" t="s">
        <v>278</v>
      </c>
      <c r="F42" s="459" t="s">
        <v>304</v>
      </c>
      <c r="G42" s="460">
        <v>1753.29</v>
      </c>
      <c r="H42" s="504">
        <f t="shared" si="0"/>
        <v>2494.7069168644457</v>
      </c>
      <c r="I42" s="460" t="s">
        <v>271</v>
      </c>
      <c r="J42" s="460" t="s">
        <v>269</v>
      </c>
      <c r="K42" s="460" t="s">
        <v>270</v>
      </c>
      <c r="L42" s="483"/>
      <c r="M42" s="483"/>
      <c r="N42" s="483"/>
    </row>
    <row r="43" spans="1:14" ht="93.75" customHeight="1">
      <c r="A43" s="456">
        <v>35</v>
      </c>
      <c r="B43" s="484" t="s">
        <v>303</v>
      </c>
      <c r="C43" s="457" t="s">
        <v>233</v>
      </c>
      <c r="D43" s="458">
        <v>4</v>
      </c>
      <c r="E43" s="456" t="s">
        <v>278</v>
      </c>
      <c r="F43" s="459" t="s">
        <v>304</v>
      </c>
      <c r="G43" s="460">
        <v>3823.66</v>
      </c>
      <c r="H43" s="504">
        <f t="shared" si="0"/>
        <v>5440.578027444351</v>
      </c>
      <c r="I43" s="460" t="s">
        <v>271</v>
      </c>
      <c r="J43" s="460" t="s">
        <v>269</v>
      </c>
      <c r="K43" s="460" t="s">
        <v>270</v>
      </c>
      <c r="L43" s="483"/>
      <c r="M43" s="483"/>
      <c r="N43" s="483"/>
    </row>
    <row r="44" spans="1:14" ht="96.75" customHeight="1">
      <c r="A44" s="465">
        <v>36</v>
      </c>
      <c r="B44" s="485" t="s">
        <v>303</v>
      </c>
      <c r="C44" s="466" t="s">
        <v>234</v>
      </c>
      <c r="D44" s="458">
        <v>1</v>
      </c>
      <c r="E44" s="465" t="s">
        <v>282</v>
      </c>
      <c r="F44" s="459" t="s">
        <v>304</v>
      </c>
      <c r="G44" s="460">
        <v>97040</v>
      </c>
      <c r="H44" s="504">
        <f t="shared" si="0"/>
        <v>138075.48050381045</v>
      </c>
      <c r="I44" s="467" t="s">
        <v>266</v>
      </c>
      <c r="J44" s="467" t="s">
        <v>267</v>
      </c>
      <c r="K44" s="468" t="s">
        <v>274</v>
      </c>
      <c r="L44" s="483"/>
      <c r="M44" s="483"/>
      <c r="N44" s="483"/>
    </row>
    <row r="45" spans="1:14" ht="51">
      <c r="A45" s="456">
        <v>37</v>
      </c>
      <c r="B45" s="484" t="s">
        <v>303</v>
      </c>
      <c r="C45" s="457" t="s">
        <v>235</v>
      </c>
      <c r="D45" s="458">
        <v>1</v>
      </c>
      <c r="E45" s="456" t="s">
        <v>282</v>
      </c>
      <c r="F45" s="459" t="s">
        <v>304</v>
      </c>
      <c r="G45" s="460">
        <v>60650</v>
      </c>
      <c r="H45" s="504">
        <f t="shared" si="0"/>
        <v>86297.17531488153</v>
      </c>
      <c r="I45" s="469" t="s">
        <v>266</v>
      </c>
      <c r="J45" s="469" t="s">
        <v>267</v>
      </c>
      <c r="K45" s="470" t="s">
        <v>274</v>
      </c>
      <c r="L45" s="483"/>
      <c r="M45" s="483"/>
      <c r="N45" s="483"/>
    </row>
    <row r="46" spans="1:14" ht="35.25" customHeight="1">
      <c r="A46" s="456">
        <v>38</v>
      </c>
      <c r="B46" s="484" t="s">
        <v>303</v>
      </c>
      <c r="C46" s="457" t="s">
        <v>258</v>
      </c>
      <c r="D46" s="458">
        <v>1</v>
      </c>
      <c r="E46" s="456" t="s">
        <v>282</v>
      </c>
      <c r="F46" s="459" t="s">
        <v>304</v>
      </c>
      <c r="G46" s="460">
        <v>84627.63</v>
      </c>
      <c r="H46" s="504">
        <f t="shared" si="0"/>
        <v>120414.26912766576</v>
      </c>
      <c r="I46" s="469" t="s">
        <v>266</v>
      </c>
      <c r="J46" s="469" t="s">
        <v>267</v>
      </c>
      <c r="K46" s="470" t="s">
        <v>274</v>
      </c>
      <c r="L46" s="483"/>
      <c r="M46" s="483"/>
      <c r="N46" s="483"/>
    </row>
    <row r="47" spans="1:14" ht="63.75">
      <c r="A47" s="456">
        <v>39</v>
      </c>
      <c r="B47" s="484" t="s">
        <v>303</v>
      </c>
      <c r="C47" s="457" t="s">
        <v>256</v>
      </c>
      <c r="D47" s="458">
        <v>1</v>
      </c>
      <c r="E47" s="456" t="s">
        <v>282</v>
      </c>
      <c r="F47" s="459" t="s">
        <v>304</v>
      </c>
      <c r="G47" s="460">
        <v>84627.61</v>
      </c>
      <c r="H47" s="504">
        <f t="shared" si="0"/>
        <v>120414.24067022954</v>
      </c>
      <c r="I47" s="469" t="s">
        <v>266</v>
      </c>
      <c r="J47" s="469" t="s">
        <v>267</v>
      </c>
      <c r="K47" s="470" t="s">
        <v>274</v>
      </c>
      <c r="L47" s="483"/>
      <c r="M47" s="483"/>
      <c r="N47" s="483"/>
    </row>
    <row r="48" spans="1:14" ht="45" customHeight="1">
      <c r="A48" s="456">
        <v>40</v>
      </c>
      <c r="B48" s="486" t="s">
        <v>305</v>
      </c>
      <c r="C48" s="457" t="s">
        <v>244</v>
      </c>
      <c r="D48" s="458">
        <v>1</v>
      </c>
      <c r="E48" s="456" t="s">
        <v>278</v>
      </c>
      <c r="F48" s="459" t="s">
        <v>302</v>
      </c>
      <c r="G48" s="460">
        <v>88518.68</v>
      </c>
      <c r="H48" s="504">
        <f t="shared" si="0"/>
        <v>125950.73448642864</v>
      </c>
      <c r="I48" s="469" t="s">
        <v>266</v>
      </c>
      <c r="J48" s="469" t="s">
        <v>267</v>
      </c>
      <c r="K48" s="470" t="s">
        <v>268</v>
      </c>
      <c r="L48" s="483"/>
      <c r="M48" s="483"/>
      <c r="N48" s="483"/>
    </row>
    <row r="49" spans="1:14" ht="45.75" customHeight="1">
      <c r="A49" s="456">
        <v>41</v>
      </c>
      <c r="B49" s="486" t="s">
        <v>305</v>
      </c>
      <c r="C49" s="466" t="s">
        <v>240</v>
      </c>
      <c r="D49" s="458">
        <v>1</v>
      </c>
      <c r="E49" s="456" t="s">
        <v>278</v>
      </c>
      <c r="F49" s="459" t="s">
        <v>302</v>
      </c>
      <c r="G49" s="460">
        <v>160772.24</v>
      </c>
      <c r="H49" s="504">
        <f t="shared" si="0"/>
        <v>228758.28822829694</v>
      </c>
      <c r="I49" s="465" t="s">
        <v>266</v>
      </c>
      <c r="J49" s="471" t="s">
        <v>269</v>
      </c>
      <c r="K49" s="463" t="s">
        <v>270</v>
      </c>
      <c r="L49" s="483"/>
      <c r="M49" s="483"/>
      <c r="N49" s="483"/>
    </row>
    <row r="50" spans="1:14" ht="75.75" customHeight="1">
      <c r="A50" s="456">
        <v>42</v>
      </c>
      <c r="B50" s="486" t="s">
        <v>305</v>
      </c>
      <c r="C50" s="466" t="s">
        <v>254</v>
      </c>
      <c r="D50" s="458">
        <v>1</v>
      </c>
      <c r="E50" s="456" t="s">
        <v>278</v>
      </c>
      <c r="F50" s="459" t="s">
        <v>302</v>
      </c>
      <c r="G50" s="460">
        <v>66290.45</v>
      </c>
      <c r="H50" s="504">
        <f t="shared" si="0"/>
        <v>94322.81261916552</v>
      </c>
      <c r="I50" s="465" t="s">
        <v>266</v>
      </c>
      <c r="J50" s="471" t="s">
        <v>269</v>
      </c>
      <c r="K50" s="463" t="s">
        <v>270</v>
      </c>
      <c r="L50" s="483"/>
      <c r="M50" s="483"/>
      <c r="N50" s="483"/>
    </row>
    <row r="51" spans="1:14" ht="105.75" customHeight="1">
      <c r="A51" s="456">
        <v>43</v>
      </c>
      <c r="B51" s="486" t="s">
        <v>305</v>
      </c>
      <c r="C51" s="466" t="s">
        <v>253</v>
      </c>
      <c r="D51" s="458">
        <v>1</v>
      </c>
      <c r="E51" s="456" t="s">
        <v>278</v>
      </c>
      <c r="F51" s="459" t="s">
        <v>302</v>
      </c>
      <c r="G51" s="460">
        <v>38682.57</v>
      </c>
      <c r="H51" s="504">
        <f t="shared" si="0"/>
        <v>55040.338415831444</v>
      </c>
      <c r="I51" s="465" t="s">
        <v>266</v>
      </c>
      <c r="J51" s="471" t="s">
        <v>269</v>
      </c>
      <c r="K51" s="463" t="s">
        <v>270</v>
      </c>
      <c r="L51" s="483"/>
      <c r="M51" s="483"/>
      <c r="N51" s="483"/>
    </row>
    <row r="52" spans="1:14" ht="60.75" customHeight="1">
      <c r="A52" s="456">
        <v>44</v>
      </c>
      <c r="B52" s="486" t="s">
        <v>305</v>
      </c>
      <c r="C52" s="466" t="s">
        <v>255</v>
      </c>
      <c r="D52" s="458">
        <v>1</v>
      </c>
      <c r="E52" s="456" t="s">
        <v>278</v>
      </c>
      <c r="F52" s="459" t="s">
        <v>302</v>
      </c>
      <c r="G52" s="460">
        <v>107962.15</v>
      </c>
      <c r="H52" s="504">
        <f t="shared" si="0"/>
        <v>153616.2998503139</v>
      </c>
      <c r="I52" s="465" t="s">
        <v>266</v>
      </c>
      <c r="J52" s="471" t="s">
        <v>269</v>
      </c>
      <c r="K52" s="463" t="s">
        <v>270</v>
      </c>
      <c r="L52" s="483"/>
      <c r="M52" s="483"/>
      <c r="N52" s="483"/>
    </row>
    <row r="53" spans="1:14" ht="48" customHeight="1">
      <c r="A53" s="456">
        <v>45</v>
      </c>
      <c r="B53" s="486" t="s">
        <v>305</v>
      </c>
      <c r="C53" s="466" t="s">
        <v>241</v>
      </c>
      <c r="D53" s="458">
        <v>1</v>
      </c>
      <c r="E53" s="456" t="s">
        <v>278</v>
      </c>
      <c r="F53" s="459" t="s">
        <v>293</v>
      </c>
      <c r="G53" s="460">
        <v>73146.33</v>
      </c>
      <c r="H53" s="504">
        <f t="shared" si="0"/>
        <v>104077.85100824697</v>
      </c>
      <c r="I53" s="465" t="s">
        <v>266</v>
      </c>
      <c r="J53" s="471" t="s">
        <v>269</v>
      </c>
      <c r="K53" s="463" t="s">
        <v>270</v>
      </c>
      <c r="L53" s="483"/>
      <c r="M53" s="483"/>
      <c r="N53" s="483"/>
    </row>
    <row r="54" spans="1:14" ht="48.75" customHeight="1">
      <c r="A54" s="456">
        <v>46</v>
      </c>
      <c r="B54" s="486" t="s">
        <v>305</v>
      </c>
      <c r="C54" s="457" t="s">
        <v>246</v>
      </c>
      <c r="D54" s="458">
        <v>1</v>
      </c>
      <c r="E54" s="456" t="s">
        <v>278</v>
      </c>
      <c r="F54" s="459" t="s">
        <v>294</v>
      </c>
      <c r="G54" s="460">
        <v>24617.84</v>
      </c>
      <c r="H54" s="504">
        <f t="shared" si="0"/>
        <v>35028.030574669465</v>
      </c>
      <c r="I54" s="465" t="s">
        <v>266</v>
      </c>
      <c r="J54" s="471" t="s">
        <v>269</v>
      </c>
      <c r="K54" s="463" t="s">
        <v>270</v>
      </c>
      <c r="L54" s="483"/>
      <c r="M54" s="483"/>
      <c r="N54" s="483"/>
    </row>
    <row r="55" spans="1:14" ht="45.75" customHeight="1">
      <c r="A55" s="456">
        <v>47</v>
      </c>
      <c r="B55" s="486" t="s">
        <v>305</v>
      </c>
      <c r="C55" s="466" t="s">
        <v>284</v>
      </c>
      <c r="D55" s="458">
        <v>1</v>
      </c>
      <c r="E55" s="456" t="s">
        <v>278</v>
      </c>
      <c r="F55" s="459" t="s">
        <v>293</v>
      </c>
      <c r="G55" s="460">
        <v>78453.2</v>
      </c>
      <c r="H55" s="504">
        <f t="shared" si="0"/>
        <v>111628.84673394004</v>
      </c>
      <c r="I55" s="465" t="s">
        <v>266</v>
      </c>
      <c r="J55" s="471" t="s">
        <v>269</v>
      </c>
      <c r="K55" s="463" t="s">
        <v>270</v>
      </c>
      <c r="L55" s="483"/>
      <c r="M55" s="483"/>
      <c r="N55" s="483"/>
    </row>
    <row r="56" spans="1:14" ht="86.25" customHeight="1">
      <c r="A56" s="456">
        <v>48</v>
      </c>
      <c r="B56" s="486" t="s">
        <v>305</v>
      </c>
      <c r="C56" s="457" t="s">
        <v>243</v>
      </c>
      <c r="D56" s="458">
        <v>1</v>
      </c>
      <c r="E56" s="456" t="s">
        <v>278</v>
      </c>
      <c r="F56" s="459" t="s">
        <v>293</v>
      </c>
      <c r="G56" s="460">
        <v>79426.24</v>
      </c>
      <c r="H56" s="504">
        <f t="shared" si="0"/>
        <v>113013.35792055824</v>
      </c>
      <c r="I56" s="465" t="s">
        <v>266</v>
      </c>
      <c r="J56" s="471" t="s">
        <v>269</v>
      </c>
      <c r="K56" s="463" t="s">
        <v>270</v>
      </c>
      <c r="L56" s="483"/>
      <c r="M56" s="483"/>
      <c r="N56" s="483"/>
    </row>
    <row r="57" spans="1:14" ht="36" customHeight="1">
      <c r="A57" s="456">
        <v>49</v>
      </c>
      <c r="B57" s="486" t="s">
        <v>305</v>
      </c>
      <c r="C57" s="472" t="s">
        <v>285</v>
      </c>
      <c r="D57" s="458">
        <v>1</v>
      </c>
      <c r="E57" s="456" t="s">
        <v>278</v>
      </c>
      <c r="F57" s="459" t="s">
        <v>306</v>
      </c>
      <c r="G57" s="460">
        <v>84276.5</v>
      </c>
      <c r="H57" s="504">
        <f t="shared" si="0"/>
        <v>119914.65614879824</v>
      </c>
      <c r="I57" s="456" t="s">
        <v>266</v>
      </c>
      <c r="J57" s="456" t="s">
        <v>269</v>
      </c>
      <c r="K57" s="463" t="s">
        <v>270</v>
      </c>
      <c r="L57" s="483"/>
      <c r="M57" s="483"/>
      <c r="N57" s="483"/>
    </row>
    <row r="58" spans="1:14" ht="32.25" customHeight="1">
      <c r="A58" s="456">
        <v>50</v>
      </c>
      <c r="B58" s="486" t="s">
        <v>305</v>
      </c>
      <c r="C58" s="457" t="s">
        <v>286</v>
      </c>
      <c r="D58" s="458">
        <v>1</v>
      </c>
      <c r="E58" s="456" t="s">
        <v>278</v>
      </c>
      <c r="F58" s="459" t="s">
        <v>295</v>
      </c>
      <c r="G58" s="460">
        <v>104580.3</v>
      </c>
      <c r="H58" s="504">
        <f t="shared" si="0"/>
        <v>148804.36081752524</v>
      </c>
      <c r="I58" s="456" t="s">
        <v>266</v>
      </c>
      <c r="J58" s="456" t="s">
        <v>269</v>
      </c>
      <c r="K58" s="463" t="s">
        <v>270</v>
      </c>
      <c r="L58" s="483"/>
      <c r="M58" s="483"/>
      <c r="N58" s="483"/>
    </row>
    <row r="59" spans="1:14" ht="36" customHeight="1">
      <c r="A59" s="456">
        <v>51</v>
      </c>
      <c r="B59" s="486" t="s">
        <v>305</v>
      </c>
      <c r="C59" s="457" t="s">
        <v>287</v>
      </c>
      <c r="D59" s="458">
        <v>1</v>
      </c>
      <c r="E59" s="456" t="s">
        <v>278</v>
      </c>
      <c r="F59" s="459" t="s">
        <v>302</v>
      </c>
      <c r="G59" s="460">
        <v>306130</v>
      </c>
      <c r="H59" s="504">
        <f t="shared" si="0"/>
        <v>435583.74738903024</v>
      </c>
      <c r="I59" s="456" t="s">
        <v>266</v>
      </c>
      <c r="J59" s="456" t="s">
        <v>269</v>
      </c>
      <c r="K59" s="463" t="s">
        <v>270</v>
      </c>
      <c r="L59" s="483"/>
      <c r="M59" s="483"/>
      <c r="N59" s="483"/>
    </row>
    <row r="60" spans="1:14" ht="36.75" customHeight="1">
      <c r="A60" s="473">
        <v>52</v>
      </c>
      <c r="B60" s="487" t="s">
        <v>305</v>
      </c>
      <c r="C60" s="472" t="s">
        <v>288</v>
      </c>
      <c r="D60" s="473">
        <v>1</v>
      </c>
      <c r="E60" s="473" t="s">
        <v>278</v>
      </c>
      <c r="F60" s="473" t="s">
        <v>296</v>
      </c>
      <c r="G60" s="474">
        <v>59418.26</v>
      </c>
      <c r="H60" s="504">
        <f t="shared" si="0"/>
        <v>84544.56719085264</v>
      </c>
      <c r="I60" s="473" t="s">
        <v>266</v>
      </c>
      <c r="J60" s="473" t="s">
        <v>269</v>
      </c>
      <c r="K60" s="474" t="s">
        <v>270</v>
      </c>
      <c r="L60" s="483"/>
      <c r="M60" s="483"/>
      <c r="N60" s="483"/>
    </row>
    <row r="61" spans="1:14" ht="56.25" customHeight="1">
      <c r="A61" s="475">
        <v>53</v>
      </c>
      <c r="B61" s="482" t="s">
        <v>301</v>
      </c>
      <c r="C61" s="457" t="s">
        <v>307</v>
      </c>
      <c r="D61" s="456">
        <v>1</v>
      </c>
      <c r="E61" s="456" t="s">
        <v>278</v>
      </c>
      <c r="F61" s="456" t="s">
        <v>308</v>
      </c>
      <c r="G61" s="456">
        <v>99818.95</v>
      </c>
      <c r="H61" s="504">
        <f t="shared" si="0"/>
        <v>142029.57012196857</v>
      </c>
      <c r="I61" s="456" t="s">
        <v>266</v>
      </c>
      <c r="J61" s="456" t="s">
        <v>309</v>
      </c>
      <c r="K61" s="476" t="s">
        <v>270</v>
      </c>
      <c r="L61" s="483"/>
      <c r="M61" s="483"/>
      <c r="N61" s="483"/>
    </row>
    <row r="62" spans="1:14" ht="56.25" customHeight="1">
      <c r="A62" s="456">
        <v>54</v>
      </c>
      <c r="B62" s="482" t="s">
        <v>301</v>
      </c>
      <c r="C62" s="457" t="s">
        <v>310</v>
      </c>
      <c r="D62" s="456">
        <v>1</v>
      </c>
      <c r="E62" s="456" t="s">
        <v>282</v>
      </c>
      <c r="F62" s="456" t="s">
        <v>311</v>
      </c>
      <c r="G62" s="456">
        <v>22022</v>
      </c>
      <c r="H62" s="504">
        <f t="shared" si="0"/>
        <v>31334.483013756326</v>
      </c>
      <c r="I62" s="476" t="s">
        <v>312</v>
      </c>
      <c r="J62" s="456" t="s">
        <v>313</v>
      </c>
      <c r="K62" s="476" t="s">
        <v>270</v>
      </c>
      <c r="L62" s="483"/>
      <c r="M62" s="483"/>
      <c r="N62" s="483"/>
    </row>
    <row r="63" spans="1:14" ht="67.5" customHeight="1">
      <c r="A63" s="456">
        <v>55</v>
      </c>
      <c r="B63" s="482" t="s">
        <v>301</v>
      </c>
      <c r="C63" s="457" t="s">
        <v>314</v>
      </c>
      <c r="D63" s="456">
        <v>1</v>
      </c>
      <c r="E63" s="456" t="s">
        <v>282</v>
      </c>
      <c r="F63" s="456" t="s">
        <v>311</v>
      </c>
      <c r="G63" s="456">
        <v>30528.3</v>
      </c>
      <c r="H63" s="504">
        <f t="shared" si="0"/>
        <v>43437.85749654242</v>
      </c>
      <c r="I63" s="456" t="s">
        <v>266</v>
      </c>
      <c r="J63" s="456" t="s">
        <v>315</v>
      </c>
      <c r="K63" s="476" t="s">
        <v>270</v>
      </c>
      <c r="L63" s="483"/>
      <c r="M63" s="483"/>
      <c r="N63" s="483"/>
    </row>
    <row r="64" spans="1:14" ht="61.5" customHeight="1">
      <c r="A64" s="477">
        <v>56</v>
      </c>
      <c r="B64" s="505" t="s">
        <v>301</v>
      </c>
      <c r="C64" s="457" t="s">
        <v>316</v>
      </c>
      <c r="D64" s="456">
        <v>1</v>
      </c>
      <c r="E64" s="456" t="s">
        <v>282</v>
      </c>
      <c r="F64" s="459" t="s">
        <v>292</v>
      </c>
      <c r="G64" s="456">
        <v>2634.17</v>
      </c>
      <c r="H64" s="504">
        <f>G64/0.702804</f>
        <v>3748.086237414699</v>
      </c>
      <c r="I64" s="456" t="s">
        <v>266</v>
      </c>
      <c r="J64" s="456" t="s">
        <v>269</v>
      </c>
      <c r="K64" s="476" t="s">
        <v>270</v>
      </c>
      <c r="L64" s="483"/>
      <c r="M64" s="483"/>
      <c r="N64" s="483"/>
    </row>
    <row r="65" spans="1:14" ht="55.5" customHeight="1">
      <c r="A65" s="456">
        <v>57</v>
      </c>
      <c r="B65" s="505" t="s">
        <v>301</v>
      </c>
      <c r="C65" s="457" t="s">
        <v>317</v>
      </c>
      <c r="D65" s="456">
        <v>1</v>
      </c>
      <c r="E65" s="456" t="s">
        <v>282</v>
      </c>
      <c r="F65" s="456" t="s">
        <v>318</v>
      </c>
      <c r="G65" s="456">
        <v>47424.74</v>
      </c>
      <c r="H65" s="504">
        <f t="shared" si="0"/>
        <v>67479.3256725915</v>
      </c>
      <c r="I65" s="473" t="s">
        <v>266</v>
      </c>
      <c r="J65" s="456" t="s">
        <v>319</v>
      </c>
      <c r="K65" s="476" t="s">
        <v>270</v>
      </c>
      <c r="L65" s="483"/>
      <c r="M65" s="483"/>
      <c r="N65" s="483"/>
    </row>
    <row r="66" spans="1:14" ht="77.25" customHeight="1">
      <c r="A66" s="456">
        <v>58</v>
      </c>
      <c r="B66" s="505" t="s">
        <v>301</v>
      </c>
      <c r="C66" s="457" t="s">
        <v>366</v>
      </c>
      <c r="D66" s="456">
        <v>1</v>
      </c>
      <c r="E66" s="456" t="s">
        <v>282</v>
      </c>
      <c r="F66" s="456" t="s">
        <v>318</v>
      </c>
      <c r="G66" s="506">
        <v>18897.78</v>
      </c>
      <c r="H66" s="504">
        <f t="shared" si="0"/>
        <v>26889.118445541004</v>
      </c>
      <c r="I66" s="474" t="s">
        <v>312</v>
      </c>
      <c r="J66" s="456" t="s">
        <v>319</v>
      </c>
      <c r="K66" s="456" t="s">
        <v>268</v>
      </c>
      <c r="L66" s="483"/>
      <c r="M66" s="483"/>
      <c r="N66" s="483"/>
    </row>
    <row r="67" spans="1:14" ht="60.75" customHeight="1">
      <c r="A67" s="477">
        <v>59</v>
      </c>
      <c r="B67" s="484" t="s">
        <v>303</v>
      </c>
      <c r="C67" s="457" t="s">
        <v>320</v>
      </c>
      <c r="D67" s="456">
        <v>1</v>
      </c>
      <c r="E67" s="456" t="s">
        <v>282</v>
      </c>
      <c r="F67" s="456" t="s">
        <v>321</v>
      </c>
      <c r="G67" s="456">
        <v>3075.82</v>
      </c>
      <c r="H67" s="504">
        <f t="shared" si="0"/>
        <v>4376.497572580692</v>
      </c>
      <c r="I67" s="476" t="s">
        <v>312</v>
      </c>
      <c r="J67" s="465" t="s">
        <v>322</v>
      </c>
      <c r="K67" s="456" t="s">
        <v>270</v>
      </c>
      <c r="L67" s="483"/>
      <c r="M67" s="483"/>
      <c r="N67" s="483"/>
    </row>
    <row r="68" spans="1:14" ht="34.5" customHeight="1">
      <c r="A68" s="477">
        <v>60</v>
      </c>
      <c r="B68" s="484" t="s">
        <v>303</v>
      </c>
      <c r="C68" s="457" t="s">
        <v>323</v>
      </c>
      <c r="D68" s="456">
        <v>1</v>
      </c>
      <c r="E68" s="456" t="s">
        <v>278</v>
      </c>
      <c r="F68" s="456" t="s">
        <v>321</v>
      </c>
      <c r="G68" s="456">
        <v>30310.5</v>
      </c>
      <c r="H68" s="504">
        <f t="shared" si="0"/>
        <v>43127.95601618659</v>
      </c>
      <c r="I68" s="456" t="s">
        <v>266</v>
      </c>
      <c r="J68" s="465" t="s">
        <v>269</v>
      </c>
      <c r="K68" s="456" t="s">
        <v>270</v>
      </c>
      <c r="L68" s="483"/>
      <c r="M68" s="483"/>
      <c r="N68" s="483"/>
    </row>
    <row r="69" spans="1:14" ht="49.5" customHeight="1">
      <c r="A69" s="456">
        <v>61</v>
      </c>
      <c r="B69" s="486" t="s">
        <v>305</v>
      </c>
      <c r="C69" s="457" t="s">
        <v>324</v>
      </c>
      <c r="D69" s="478">
        <v>1</v>
      </c>
      <c r="E69" s="456" t="s">
        <v>278</v>
      </c>
      <c r="F69" s="479" t="s">
        <v>292</v>
      </c>
      <c r="G69" s="471">
        <v>81999.28</v>
      </c>
      <c r="H69" s="504">
        <f t="shared" si="0"/>
        <v>116674.46400418894</v>
      </c>
      <c r="I69" s="456" t="s">
        <v>266</v>
      </c>
      <c r="J69" s="456" t="s">
        <v>269</v>
      </c>
      <c r="K69" s="456" t="s">
        <v>325</v>
      </c>
      <c r="L69" s="483"/>
      <c r="M69" s="483"/>
      <c r="N69" s="483"/>
    </row>
    <row r="70" spans="1:14" ht="39" customHeight="1">
      <c r="A70" s="456">
        <v>62</v>
      </c>
      <c r="B70" s="486" t="s">
        <v>305</v>
      </c>
      <c r="C70" s="488" t="s">
        <v>326</v>
      </c>
      <c r="D70" s="478">
        <v>1</v>
      </c>
      <c r="E70" s="456" t="s">
        <v>278</v>
      </c>
      <c r="F70" s="459" t="s">
        <v>306</v>
      </c>
      <c r="G70" s="471">
        <v>40740.7</v>
      </c>
      <c r="H70" s="504">
        <f t="shared" si="0"/>
        <v>57968.7935754492</v>
      </c>
      <c r="I70" s="456" t="s">
        <v>266</v>
      </c>
      <c r="J70" s="456" t="s">
        <v>313</v>
      </c>
      <c r="K70" s="456" t="s">
        <v>325</v>
      </c>
      <c r="L70" s="483"/>
      <c r="M70" s="483"/>
      <c r="N70" s="483"/>
    </row>
    <row r="71" spans="1:14" ht="65.25" customHeight="1">
      <c r="A71" s="477">
        <v>63</v>
      </c>
      <c r="B71" s="486" t="s">
        <v>305</v>
      </c>
      <c r="C71" s="457" t="s">
        <v>327</v>
      </c>
      <c r="D71" s="456">
        <v>1</v>
      </c>
      <c r="E71" s="456" t="s">
        <v>282</v>
      </c>
      <c r="F71" s="479" t="s">
        <v>328</v>
      </c>
      <c r="G71" s="489">
        <v>69792.8</v>
      </c>
      <c r="H71" s="504">
        <f t="shared" si="0"/>
        <v>99306.20770513543</v>
      </c>
      <c r="I71" s="456" t="s">
        <v>266</v>
      </c>
      <c r="J71" s="456" t="s">
        <v>313</v>
      </c>
      <c r="K71" s="456" t="s">
        <v>325</v>
      </c>
      <c r="L71" s="483"/>
      <c r="M71" s="483"/>
      <c r="N71" s="483"/>
    </row>
    <row r="72" spans="1:14" ht="87.75" customHeight="1">
      <c r="A72" s="477">
        <v>64</v>
      </c>
      <c r="B72" s="486" t="s">
        <v>305</v>
      </c>
      <c r="C72" s="488" t="s">
        <v>329</v>
      </c>
      <c r="D72" s="478">
        <v>1</v>
      </c>
      <c r="E72" s="456" t="s">
        <v>278</v>
      </c>
      <c r="F72" s="459" t="s">
        <v>306</v>
      </c>
      <c r="G72" s="471">
        <v>20556.69</v>
      </c>
      <c r="H72" s="504">
        <f>G72/0.702804</f>
        <v>29249.534720917924</v>
      </c>
      <c r="I72" s="456" t="s">
        <v>266</v>
      </c>
      <c r="J72" s="456" t="s">
        <v>313</v>
      </c>
      <c r="K72" s="456" t="s">
        <v>270</v>
      </c>
      <c r="L72" s="483"/>
      <c r="M72" s="483"/>
      <c r="N72" s="483"/>
    </row>
    <row r="73" spans="1:14" ht="60" customHeight="1">
      <c r="A73" s="477">
        <v>65</v>
      </c>
      <c r="B73" s="482" t="s">
        <v>301</v>
      </c>
      <c r="C73" s="457" t="s">
        <v>330</v>
      </c>
      <c r="D73" s="456">
        <v>1</v>
      </c>
      <c r="E73" s="456" t="s">
        <v>282</v>
      </c>
      <c r="F73" s="465" t="s">
        <v>331</v>
      </c>
      <c r="G73" s="490">
        <v>9861.5</v>
      </c>
      <c r="H73" s="504">
        <f t="shared" si="0"/>
        <v>14031.650360555717</v>
      </c>
      <c r="I73" s="456" t="s">
        <v>266</v>
      </c>
      <c r="J73" s="456" t="s">
        <v>269</v>
      </c>
      <c r="K73" s="456" t="s">
        <v>270</v>
      </c>
      <c r="L73" s="483"/>
      <c r="M73" s="483"/>
      <c r="N73" s="483"/>
    </row>
    <row r="74" spans="1:14" ht="47.25" customHeight="1">
      <c r="A74" s="477">
        <v>66</v>
      </c>
      <c r="B74" s="486" t="s">
        <v>305</v>
      </c>
      <c r="C74" s="457" t="s">
        <v>332</v>
      </c>
      <c r="D74" s="456">
        <v>1</v>
      </c>
      <c r="E74" s="456" t="s">
        <v>278</v>
      </c>
      <c r="F74" s="465" t="s">
        <v>333</v>
      </c>
      <c r="G74" s="490">
        <v>162989.61</v>
      </c>
      <c r="H74" s="504">
        <f aca="true" t="shared" si="1" ref="H74:H79">G74/0.702804</f>
        <v>231913.32149503985</v>
      </c>
      <c r="I74" s="456" t="s">
        <v>266</v>
      </c>
      <c r="J74" s="456" t="s">
        <v>313</v>
      </c>
      <c r="K74" s="456" t="s">
        <v>268</v>
      </c>
      <c r="L74" s="483"/>
      <c r="M74" s="483"/>
      <c r="N74" s="483"/>
    </row>
    <row r="75" spans="1:14" ht="63.75">
      <c r="A75" s="477">
        <v>67</v>
      </c>
      <c r="B75" s="486" t="s">
        <v>305</v>
      </c>
      <c r="C75" s="457" t="s">
        <v>334</v>
      </c>
      <c r="D75" s="456">
        <v>1</v>
      </c>
      <c r="E75" s="456" t="s">
        <v>335</v>
      </c>
      <c r="F75" s="465" t="s">
        <v>295</v>
      </c>
      <c r="G75" s="490">
        <v>107081.31</v>
      </c>
      <c r="H75" s="504">
        <f t="shared" si="1"/>
        <v>152362.97744463605</v>
      </c>
      <c r="I75" s="456" t="s">
        <v>266</v>
      </c>
      <c r="J75" s="456" t="s">
        <v>313</v>
      </c>
      <c r="K75" s="456" t="s">
        <v>336</v>
      </c>
      <c r="L75" s="483"/>
      <c r="M75" s="483"/>
      <c r="N75" s="483"/>
    </row>
    <row r="76" spans="1:14" ht="111" customHeight="1">
      <c r="A76" s="477">
        <v>68</v>
      </c>
      <c r="B76" s="486" t="s">
        <v>305</v>
      </c>
      <c r="C76" s="457" t="s">
        <v>337</v>
      </c>
      <c r="D76" s="478">
        <v>1</v>
      </c>
      <c r="E76" s="456" t="s">
        <v>278</v>
      </c>
      <c r="F76" s="459" t="s">
        <v>302</v>
      </c>
      <c r="G76" s="490">
        <v>67699.5</v>
      </c>
      <c r="H76" s="504">
        <f t="shared" si="1"/>
        <v>96327.71014393771</v>
      </c>
      <c r="I76" s="456" t="s">
        <v>266</v>
      </c>
      <c r="J76" s="456" t="s">
        <v>269</v>
      </c>
      <c r="K76" s="456" t="s">
        <v>338</v>
      </c>
      <c r="L76" s="483"/>
      <c r="M76" s="483"/>
      <c r="N76" s="483"/>
    </row>
    <row r="77" spans="1:14" ht="142.5" customHeight="1">
      <c r="A77" s="473">
        <v>69</v>
      </c>
      <c r="B77" s="482" t="s">
        <v>301</v>
      </c>
      <c r="C77" s="457" t="s">
        <v>339</v>
      </c>
      <c r="D77" s="478">
        <v>1</v>
      </c>
      <c r="E77" s="456" t="s">
        <v>278</v>
      </c>
      <c r="F77" s="465" t="s">
        <v>340</v>
      </c>
      <c r="G77" s="471">
        <v>11283.25</v>
      </c>
      <c r="H77" s="504">
        <f t="shared" si="1"/>
        <v>16054.618357322952</v>
      </c>
      <c r="I77" s="456" t="s">
        <v>266</v>
      </c>
      <c r="J77" s="456" t="s">
        <v>272</v>
      </c>
      <c r="K77" s="456" t="s">
        <v>268</v>
      </c>
      <c r="L77" s="483"/>
      <c r="M77" s="483"/>
      <c r="N77" s="483"/>
    </row>
    <row r="78" spans="1:14" ht="142.5" customHeight="1">
      <c r="A78" s="475">
        <v>70</v>
      </c>
      <c r="B78" s="482" t="s">
        <v>301</v>
      </c>
      <c r="C78" s="472" t="s">
        <v>341</v>
      </c>
      <c r="D78" s="478">
        <v>1</v>
      </c>
      <c r="E78" s="456" t="s">
        <v>278</v>
      </c>
      <c r="F78" s="466" t="s">
        <v>340</v>
      </c>
      <c r="G78" s="460">
        <v>49186.5</v>
      </c>
      <c r="H78" s="504">
        <f t="shared" si="1"/>
        <v>69986.08431369202</v>
      </c>
      <c r="I78" s="456" t="s">
        <v>312</v>
      </c>
      <c r="J78" s="456" t="s">
        <v>272</v>
      </c>
      <c r="K78" s="456" t="s">
        <v>268</v>
      </c>
      <c r="L78" s="483"/>
      <c r="M78" s="483"/>
      <c r="N78" s="483"/>
    </row>
    <row r="79" spans="1:14" ht="50.25" customHeight="1">
      <c r="A79" s="473">
        <v>71</v>
      </c>
      <c r="B79" s="482" t="s">
        <v>301</v>
      </c>
      <c r="C79" s="457" t="s">
        <v>342</v>
      </c>
      <c r="D79" s="478">
        <v>1</v>
      </c>
      <c r="E79" s="456" t="s">
        <v>278</v>
      </c>
      <c r="F79" s="466" t="s">
        <v>340</v>
      </c>
      <c r="G79" s="460">
        <v>29778.1</v>
      </c>
      <c r="H79" s="504">
        <f t="shared" si="1"/>
        <v>42370.419064205664</v>
      </c>
      <c r="I79" s="456" t="s">
        <v>312</v>
      </c>
      <c r="J79" s="456" t="s">
        <v>272</v>
      </c>
      <c r="K79" s="456" t="s">
        <v>268</v>
      </c>
      <c r="L79" s="483"/>
      <c r="M79" s="483"/>
      <c r="N79" s="483"/>
    </row>
    <row r="80" spans="1:14" ht="28.5" customHeight="1">
      <c r="A80" s="536" t="s">
        <v>348</v>
      </c>
      <c r="B80" s="536"/>
      <c r="C80" s="536"/>
      <c r="D80" s="536"/>
      <c r="E80" s="536"/>
      <c r="F80" s="536"/>
      <c r="G80" s="536"/>
      <c r="H80" s="536"/>
      <c r="I80" s="536"/>
      <c r="J80" s="536"/>
      <c r="K80" s="536"/>
      <c r="L80" s="536"/>
      <c r="M80" s="491"/>
      <c r="N80" s="491"/>
    </row>
    <row r="81" spans="1:12" ht="11.25" customHeight="1">
      <c r="A81"/>
      <c r="B81"/>
      <c r="C81"/>
      <c r="D81"/>
      <c r="E81"/>
      <c r="F81"/>
      <c r="G81"/>
      <c r="H81"/>
      <c r="I81"/>
      <c r="J81"/>
      <c r="K81"/>
      <c r="L81" s="447"/>
    </row>
    <row r="82" spans="1:11" ht="36" customHeight="1">
      <c r="A82"/>
      <c r="B82" s="453" t="s">
        <v>301</v>
      </c>
      <c r="C82" s="551" t="s">
        <v>349</v>
      </c>
      <c r="D82" s="552"/>
      <c r="E82" s="552"/>
      <c r="F82" s="552"/>
      <c r="G82" s="552"/>
      <c r="H82" s="552"/>
      <c r="I82" s="552"/>
      <c r="J82" s="552"/>
      <c r="K82" s="552"/>
    </row>
    <row r="83" spans="1:11" ht="38.25" customHeight="1">
      <c r="A83"/>
      <c r="B83" s="454" t="s">
        <v>305</v>
      </c>
      <c r="C83" s="553" t="s">
        <v>351</v>
      </c>
      <c r="D83" s="554"/>
      <c r="E83" s="554"/>
      <c r="F83" s="554"/>
      <c r="G83" s="554"/>
      <c r="H83" s="554"/>
      <c r="I83" s="554"/>
      <c r="J83" s="554"/>
      <c r="K83" s="554"/>
    </row>
    <row r="84" spans="1:11" ht="35.25" customHeight="1">
      <c r="A84"/>
      <c r="B84" s="455" t="s">
        <v>303</v>
      </c>
      <c r="C84" s="545" t="s">
        <v>350</v>
      </c>
      <c r="D84" s="546"/>
      <c r="E84" s="546"/>
      <c r="F84" s="546"/>
      <c r="G84" s="546"/>
      <c r="H84" s="546"/>
      <c r="I84" s="546"/>
      <c r="J84" s="546"/>
      <c r="K84" s="546"/>
    </row>
    <row r="85" spans="1:13" ht="15.75">
      <c r="A85" s="556" t="s">
        <v>370</v>
      </c>
      <c r="B85" s="556"/>
      <c r="C85" s="556"/>
      <c r="D85" s="556"/>
      <c r="E85" s="556"/>
      <c r="F85" s="556"/>
      <c r="G85" s="556"/>
      <c r="H85" s="556"/>
      <c r="I85" s="556"/>
      <c r="J85" s="556"/>
      <c r="K85" s="556"/>
      <c r="L85" s="556"/>
      <c r="M85" s="556"/>
    </row>
    <row r="86" spans="1:14" ht="15.75">
      <c r="A86" s="535" t="s">
        <v>373</v>
      </c>
      <c r="B86" s="535"/>
      <c r="C86" s="535"/>
      <c r="D86" s="535"/>
      <c r="E86" s="535"/>
      <c r="F86" s="535"/>
      <c r="G86" s="535"/>
      <c r="H86" s="535"/>
      <c r="I86" s="535"/>
      <c r="J86" s="535"/>
      <c r="K86" s="535"/>
      <c r="L86" s="535"/>
      <c r="M86" s="535"/>
      <c r="N86" s="535"/>
    </row>
    <row r="88" spans="1:14" ht="15.75">
      <c r="A88" s="537" t="s">
        <v>369</v>
      </c>
      <c r="B88" s="537"/>
      <c r="C88" s="537"/>
      <c r="D88" s="537"/>
      <c r="E88" s="537"/>
      <c r="F88" s="537"/>
      <c r="G88" s="537"/>
      <c r="H88" s="537"/>
      <c r="I88" s="537"/>
      <c r="J88" s="537"/>
      <c r="K88" s="537"/>
      <c r="L88" s="537"/>
      <c r="M88" s="537"/>
      <c r="N88" s="537"/>
    </row>
    <row r="90" spans="1:14" ht="15.75">
      <c r="A90" s="541" t="s">
        <v>352</v>
      </c>
      <c r="B90" s="541"/>
      <c r="C90" s="541"/>
      <c r="D90" s="541"/>
      <c r="E90" s="541"/>
      <c r="F90" s="541"/>
      <c r="G90" s="541"/>
      <c r="H90" s="541"/>
      <c r="I90" s="541"/>
      <c r="J90" s="541"/>
      <c r="K90" s="541"/>
      <c r="L90" s="541"/>
      <c r="M90" s="541"/>
      <c r="N90" s="541"/>
    </row>
    <row r="92" spans="1:5" ht="33.75" customHeight="1">
      <c r="A92" s="534" t="s">
        <v>365</v>
      </c>
      <c r="B92" s="534"/>
      <c r="C92" s="534"/>
      <c r="D92" s="534"/>
      <c r="E92" s="534"/>
    </row>
    <row r="93" spans="1:5" ht="105.75" customHeight="1">
      <c r="A93" s="533" t="s">
        <v>357</v>
      </c>
      <c r="B93" s="533" t="s">
        <v>353</v>
      </c>
      <c r="C93" s="533" t="s">
        <v>354</v>
      </c>
      <c r="D93" s="533" t="s">
        <v>344</v>
      </c>
      <c r="E93" s="533" t="s">
        <v>355</v>
      </c>
    </row>
    <row r="94" spans="1:5" ht="12.75" hidden="1">
      <c r="A94" s="533"/>
      <c r="B94" s="533"/>
      <c r="C94" s="533"/>
      <c r="D94" s="533"/>
      <c r="E94" s="533"/>
    </row>
    <row r="95" spans="1:5" ht="20.25" customHeight="1">
      <c r="A95" s="480"/>
      <c r="B95" s="494" t="s">
        <v>356</v>
      </c>
      <c r="C95" s="494" t="s">
        <v>356</v>
      </c>
      <c r="D95" s="502">
        <v>0</v>
      </c>
      <c r="E95" s="495"/>
    </row>
    <row r="96" spans="1:5" ht="24" customHeight="1">
      <c r="A96" s="542" t="s">
        <v>348</v>
      </c>
      <c r="B96" s="543"/>
      <c r="C96" s="544"/>
      <c r="D96" s="503">
        <v>0</v>
      </c>
      <c r="E96" s="495"/>
    </row>
    <row r="98" spans="1:13" ht="51" customHeight="1">
      <c r="A98" s="556" t="s">
        <v>375</v>
      </c>
      <c r="B98" s="556"/>
      <c r="C98" s="556"/>
      <c r="D98" s="556"/>
      <c r="E98" s="556"/>
      <c r="F98" s="556"/>
      <c r="G98" s="556"/>
      <c r="H98" s="556"/>
      <c r="I98" s="556"/>
      <c r="J98" s="556"/>
      <c r="K98" s="556"/>
      <c r="L98" s="556"/>
      <c r="M98" s="556"/>
    </row>
    <row r="99" spans="1:6" ht="13.5" customHeight="1">
      <c r="A99" s="496"/>
      <c r="B99"/>
      <c r="C99"/>
      <c r="D99"/>
      <c r="E99"/>
      <c r="F99"/>
    </row>
    <row r="100" spans="1:13" ht="15.75">
      <c r="A100" s="541" t="s">
        <v>372</v>
      </c>
      <c r="B100" s="541"/>
      <c r="C100" s="541"/>
      <c r="D100" s="541"/>
      <c r="E100" s="541"/>
      <c r="F100" s="541"/>
      <c r="G100" s="541"/>
      <c r="H100" s="541"/>
      <c r="I100" s="541"/>
      <c r="J100" s="541"/>
      <c r="K100" s="541"/>
      <c r="L100" s="541"/>
      <c r="M100" s="541"/>
    </row>
    <row r="101" spans="1:14" ht="39.75" customHeight="1">
      <c r="A101" s="539" t="s">
        <v>374</v>
      </c>
      <c r="B101" s="540"/>
      <c r="C101" s="540"/>
      <c r="D101" s="540"/>
      <c r="E101" s="540"/>
      <c r="F101" s="540"/>
      <c r="G101" s="540"/>
      <c r="H101" s="540"/>
      <c r="I101" s="540"/>
      <c r="J101" s="540"/>
      <c r="K101" s="540"/>
      <c r="L101" s="540"/>
      <c r="M101" s="540"/>
      <c r="N101" s="540"/>
    </row>
    <row r="102" spans="1:14" ht="20.25" customHeight="1">
      <c r="A102" s="538" t="s">
        <v>364</v>
      </c>
      <c r="B102" s="538"/>
      <c r="C102" s="538"/>
      <c r="D102" s="538"/>
      <c r="E102" s="538"/>
      <c r="F102" s="538"/>
      <c r="G102" s="538"/>
      <c r="H102" s="538"/>
      <c r="I102" s="538"/>
      <c r="J102" s="538"/>
      <c r="K102" s="538"/>
      <c r="L102" s="538"/>
      <c r="M102" s="538"/>
      <c r="N102" s="538"/>
    </row>
    <row r="103" spans="1:13" ht="18.75" customHeight="1">
      <c r="A103" s="493"/>
      <c r="B103" s="493"/>
      <c r="C103" s="493"/>
      <c r="D103" s="493"/>
      <c r="E103" s="493"/>
      <c r="F103" s="493"/>
      <c r="G103" s="493"/>
      <c r="H103" s="493"/>
      <c r="I103" s="493"/>
      <c r="J103" s="493"/>
      <c r="K103" s="493"/>
      <c r="L103" s="493"/>
      <c r="M103" s="493"/>
    </row>
    <row r="104" spans="1:13" ht="15.75">
      <c r="A104" s="555" t="s">
        <v>358</v>
      </c>
      <c r="B104" s="555"/>
      <c r="C104" s="555"/>
      <c r="D104" s="555"/>
      <c r="E104" s="555"/>
      <c r="F104" s="555"/>
      <c r="G104" s="555"/>
      <c r="H104" s="555"/>
      <c r="I104" s="555"/>
      <c r="J104" s="555"/>
      <c r="K104" s="555"/>
      <c r="L104" s="555"/>
      <c r="M104" s="555"/>
    </row>
    <row r="105" spans="1:13" ht="15.75">
      <c r="A105" s="555" t="s">
        <v>359</v>
      </c>
      <c r="B105" s="555"/>
      <c r="C105" s="555"/>
      <c r="D105" s="555"/>
      <c r="E105" s="555"/>
      <c r="F105" s="555"/>
      <c r="G105" s="555"/>
      <c r="H105" s="555"/>
      <c r="I105" s="555"/>
      <c r="J105" s="555"/>
      <c r="K105" s="555"/>
      <c r="L105" s="555"/>
      <c r="M105" s="555"/>
    </row>
    <row r="106" spans="1:13" ht="15.75">
      <c r="A106" s="555" t="s">
        <v>371</v>
      </c>
      <c r="B106" s="555"/>
      <c r="C106" s="555"/>
      <c r="D106" s="555"/>
      <c r="E106" s="555"/>
      <c r="F106" s="555"/>
      <c r="G106" s="555"/>
      <c r="H106" s="555"/>
      <c r="I106" s="555"/>
      <c r="J106" s="555"/>
      <c r="K106" s="555"/>
      <c r="L106" s="555"/>
      <c r="M106" s="555"/>
    </row>
    <row r="107" spans="1:13" ht="12.75" customHeight="1">
      <c r="A107" s="492"/>
      <c r="B107" s="498"/>
      <c r="C107" s="498"/>
      <c r="D107" s="498"/>
      <c r="E107" s="498"/>
      <c r="F107" s="498"/>
      <c r="G107" s="499"/>
      <c r="H107" s="500"/>
      <c r="I107" s="501"/>
      <c r="J107" s="501"/>
      <c r="K107" s="501"/>
      <c r="L107" s="501"/>
      <c r="M107" s="501"/>
    </row>
    <row r="108" spans="1:13" ht="15.75">
      <c r="A108" s="555" t="s">
        <v>360</v>
      </c>
      <c r="B108" s="555"/>
      <c r="C108" s="555"/>
      <c r="D108" s="555"/>
      <c r="E108" s="555"/>
      <c r="F108" s="555"/>
      <c r="G108" s="555"/>
      <c r="H108" s="555"/>
      <c r="I108" s="555"/>
      <c r="J108" s="555"/>
      <c r="K108" s="555"/>
      <c r="L108" s="555"/>
      <c r="M108" s="555"/>
    </row>
    <row r="109" spans="1:13" ht="15.75">
      <c r="A109" s="555" t="s">
        <v>361</v>
      </c>
      <c r="B109" s="555"/>
      <c r="C109" s="555"/>
      <c r="D109" s="555"/>
      <c r="E109" s="555"/>
      <c r="F109" s="555"/>
      <c r="G109" s="555"/>
      <c r="H109" s="555"/>
      <c r="I109" s="555"/>
      <c r="J109" s="555"/>
      <c r="K109" s="555"/>
      <c r="L109" s="555"/>
      <c r="M109" s="555"/>
    </row>
    <row r="110" spans="1:13" ht="15.75">
      <c r="A110" s="555" t="s">
        <v>362</v>
      </c>
      <c r="B110" s="555"/>
      <c r="C110" s="555"/>
      <c r="D110" s="555"/>
      <c r="E110" s="555"/>
      <c r="F110" s="555"/>
      <c r="G110" s="555"/>
      <c r="H110" s="555"/>
      <c r="I110" s="555"/>
      <c r="J110" s="555"/>
      <c r="K110" s="555"/>
      <c r="L110" s="555"/>
      <c r="M110" s="555"/>
    </row>
    <row r="111" spans="1:6" ht="15">
      <c r="A111" s="497"/>
      <c r="B111"/>
      <c r="C111"/>
      <c r="D111"/>
      <c r="E111"/>
      <c r="F111"/>
    </row>
    <row r="112" spans="1:6" ht="15">
      <c r="A112" s="497"/>
      <c r="B112"/>
      <c r="C112"/>
      <c r="D112"/>
      <c r="E112"/>
      <c r="F112"/>
    </row>
  </sheetData>
  <sheetProtection/>
  <mergeCells count="31">
    <mergeCell ref="A106:M106"/>
    <mergeCell ref="A108:M108"/>
    <mergeCell ref="A109:M109"/>
    <mergeCell ref="A110:M110"/>
    <mergeCell ref="A85:M85"/>
    <mergeCell ref="A98:M98"/>
    <mergeCell ref="A100:M100"/>
    <mergeCell ref="A104:M104"/>
    <mergeCell ref="A105:M105"/>
    <mergeCell ref="A3:N3"/>
    <mergeCell ref="A4:N4"/>
    <mergeCell ref="A6:N6"/>
    <mergeCell ref="A7:N7"/>
    <mergeCell ref="C82:K82"/>
    <mergeCell ref="C83:K83"/>
    <mergeCell ref="A102:N102"/>
    <mergeCell ref="A101:N101"/>
    <mergeCell ref="A90:N90"/>
    <mergeCell ref="A96:C96"/>
    <mergeCell ref="C93:C94"/>
    <mergeCell ref="C84:K84"/>
    <mergeCell ref="M1:N1"/>
    <mergeCell ref="M2:N2"/>
    <mergeCell ref="A93:A94"/>
    <mergeCell ref="B93:B94"/>
    <mergeCell ref="A92:E92"/>
    <mergeCell ref="A86:N86"/>
    <mergeCell ref="A80:L80"/>
    <mergeCell ref="A88:N88"/>
    <mergeCell ref="D93:D94"/>
    <mergeCell ref="E93:E94"/>
  </mergeCells>
  <printOptions/>
  <pageMargins left="0.7086614173228347" right="0.7086614173228347" top="0.7480314960629921" bottom="0.7480314960629921" header="0.31496062992125984" footer="0.31496062992125984"/>
  <pageSetup fitToHeight="4"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Žanna Levina</cp:lastModifiedBy>
  <cp:lastPrinted>2014-03-03T19:04:34Z</cp:lastPrinted>
  <dcterms:created xsi:type="dcterms:W3CDTF">2011-07-06T04:56:51Z</dcterms:created>
  <dcterms:modified xsi:type="dcterms:W3CDTF">2014-03-03T19:09:22Z</dcterms:modified>
  <cp:category/>
  <cp:version/>
  <cp:contentType/>
  <cp:contentStatus/>
</cp:coreProperties>
</file>